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180" windowHeight="6680" tabRatio="974" firstSheet="9" activeTab="12"/>
  </bookViews>
  <sheets>
    <sheet name="STRONA" sheetId="16" r:id="rId1"/>
    <sheet name="Wskaźniki emisji 2014" sheetId="38" r:id="rId2"/>
    <sheet name="Wskaźniki emisji 2020" sheetId="44" r:id="rId3"/>
    <sheet name="Prognozy ogólne" sheetId="20" r:id="rId4"/>
    <sheet name="BAZA MAŁOPOLSKA EMISJI" sheetId="49" r:id="rId5"/>
    <sheet name="SEKTORY I ŹRÓDŁA EMISJI " sheetId="39" r:id="rId6"/>
    <sheet name="Arkusz3" sheetId="46" state="hidden" r:id="rId7"/>
    <sheet name="STOPIEŃ REALIZACJI WSKAŹNIKÓW" sheetId="48" r:id="rId8"/>
    <sheet name="ZADANIA ZREALIZOWANE DO 2020" sheetId="47" r:id="rId9"/>
    <sheet name="Podsumowanie" sheetId="12" r:id="rId10"/>
    <sheet name="PLAN DZIAŁAŃ do roku 2027" sheetId="19" r:id="rId11"/>
    <sheet name="Prognozy podsumowanie" sheetId="25" r:id="rId12"/>
    <sheet name="Prognoza OZE" sheetId="27" r:id="rId13"/>
    <sheet name="MONITORING W LATACH 2021-2025" sheetId="42" r:id="rId14"/>
    <sheet name="inne pyły i gazy" sheetId="50" r:id="rId15"/>
    <sheet name="Arkusz4" sheetId="43" state="hidden" r:id="rId16"/>
    <sheet name="TABLICA" sheetId="37" state="hidden" r:id="rId17"/>
  </sheets>
  <definedNames>
    <definedName name="_xlnm.Print_Area" localSheetId="4">'BAZA MAŁOPOLSKA EMISJI'!$A$1:$H$63</definedName>
    <definedName name="_xlnm.Print_Area" localSheetId="10">'PLAN DZIAŁAŃ do roku 2027'!$A$1:$H$16</definedName>
    <definedName name="_xlnm.Print_Area" localSheetId="9">Podsumowanie!$A$1:$C$45</definedName>
    <definedName name="_xlnm.Print_Area" localSheetId="12">'Prognoza OZE'!$A$1:$I$14</definedName>
    <definedName name="_xlnm.Print_Area" localSheetId="3">'Prognozy ogólne'!$A$1:$P$78</definedName>
    <definedName name="_xlnm.Print_Area" localSheetId="11">'Prognozy podsumowanie'!$A$1:$H$20</definedName>
    <definedName name="_xlnm.Print_Area" localSheetId="5">'SEKTORY I ŹRÓDŁA EMISJI '!$A$1:$K$25</definedName>
    <definedName name="_xlnm.Print_Area" localSheetId="7">'STOPIEŃ REALIZACJI WSKAŹNIKÓW'!$A$1:$H$29</definedName>
    <definedName name="_xlnm.Print_Area" localSheetId="0">STRONA!$A$1:$K$44</definedName>
    <definedName name="_xlnm.Print_Area" localSheetId="1">'Wskaźniki emisji 2014'!$A$1:$D$24</definedName>
    <definedName name="_xlnm.Print_Area" localSheetId="2">'Wskaźniki emisji 2020'!$A$1:$D$24</definedName>
    <definedName name="_xlnm.Print_Area" localSheetId="8">'ZADANIA ZREALIZOWANE DO 2020'!$A$1:$E$26</definedName>
  </definedNames>
  <calcPr calcId="152511"/>
</workbook>
</file>

<file path=xl/calcChain.xml><?xml version="1.0" encoding="utf-8"?>
<calcChain xmlns="http://schemas.openxmlformats.org/spreadsheetml/2006/main">
  <c r="H3" i="50" l="1"/>
  <c r="H4" i="50"/>
  <c r="H5" i="50"/>
  <c r="H6" i="50"/>
  <c r="H2" i="50"/>
  <c r="G6" i="50"/>
  <c r="G5" i="50"/>
  <c r="G4" i="50"/>
  <c r="G3" i="50"/>
  <c r="G2" i="50"/>
  <c r="F3" i="50"/>
  <c r="F4" i="50"/>
  <c r="F5" i="50"/>
  <c r="F6" i="50"/>
  <c r="F2" i="50"/>
  <c r="I11" i="27" l="1"/>
  <c r="I13" i="27"/>
  <c r="H9" i="27"/>
  <c r="I9" i="27" l="1"/>
  <c r="F14" i="19" l="1"/>
  <c r="E14" i="19"/>
  <c r="F12" i="19"/>
  <c r="E12" i="19"/>
  <c r="E15" i="19"/>
  <c r="D17" i="25"/>
  <c r="D7" i="25"/>
  <c r="F15" i="19"/>
  <c r="F13" i="19"/>
  <c r="E13" i="19"/>
  <c r="D16" i="25"/>
  <c r="D6" i="25"/>
  <c r="D15" i="25"/>
  <c r="D5" i="25"/>
  <c r="C7" i="19"/>
  <c r="D7" i="19"/>
  <c r="O59" i="20" l="1"/>
  <c r="D10" i="27" l="1"/>
  <c r="D9" i="27"/>
  <c r="D8" i="27"/>
  <c r="B10" i="27"/>
  <c r="B9" i="27"/>
  <c r="B8" i="27"/>
  <c r="E61" i="49"/>
  <c r="E62" i="49"/>
  <c r="E63" i="49"/>
  <c r="E60" i="49"/>
  <c r="C63" i="49"/>
  <c r="C5" i="19"/>
  <c r="C6" i="19" s="1"/>
  <c r="C37" i="12"/>
  <c r="C38" i="12"/>
  <c r="C39" i="12"/>
  <c r="C41" i="12"/>
  <c r="C42" i="12"/>
  <c r="C43" i="12"/>
  <c r="C36" i="12"/>
  <c r="B37" i="12"/>
  <c r="B38" i="12"/>
  <c r="B39" i="12"/>
  <c r="B40" i="12"/>
  <c r="B41" i="12"/>
  <c r="B42" i="12"/>
  <c r="B43" i="12"/>
  <c r="B36" i="12"/>
  <c r="C25" i="12"/>
  <c r="C26" i="12"/>
  <c r="C27" i="12"/>
  <c r="C28" i="12"/>
  <c r="C29" i="12"/>
  <c r="C30" i="12"/>
  <c r="C31" i="12"/>
  <c r="C24" i="12"/>
  <c r="B27" i="12"/>
  <c r="B28" i="12"/>
  <c r="B29" i="12"/>
  <c r="B30" i="12"/>
  <c r="B31" i="12"/>
  <c r="A27" i="12"/>
  <c r="B25" i="12"/>
  <c r="B26" i="12"/>
  <c r="B24" i="12"/>
  <c r="C6" i="12"/>
  <c r="C5" i="12"/>
  <c r="B8" i="12"/>
  <c r="B7" i="12"/>
  <c r="B6" i="12"/>
  <c r="B5" i="12"/>
  <c r="C24" i="48"/>
  <c r="G24" i="48" s="1"/>
  <c r="G26" i="48"/>
  <c r="C26" i="48"/>
  <c r="C25" i="48"/>
  <c r="G25" i="48"/>
  <c r="G21" i="48"/>
  <c r="C21" i="48"/>
  <c r="G23" i="48"/>
  <c r="C23" i="48"/>
  <c r="C18" i="48"/>
  <c r="G18" i="48"/>
  <c r="G20" i="48"/>
  <c r="C20" i="48"/>
  <c r="G19" i="48"/>
  <c r="C19" i="48"/>
  <c r="G3" i="48"/>
  <c r="E3" i="48"/>
  <c r="E16" i="48" s="1"/>
  <c r="D21" i="47"/>
  <c r="B21" i="47"/>
  <c r="D8" i="47"/>
  <c r="B8" i="47"/>
  <c r="B15" i="47"/>
  <c r="B16" i="47"/>
  <c r="B17" i="47"/>
  <c r="D18" i="47"/>
  <c r="C18" i="47"/>
  <c r="C26" i="47" s="1"/>
  <c r="D19" i="47"/>
  <c r="C19" i="47"/>
  <c r="G13" i="48"/>
  <c r="E13" i="48"/>
  <c r="F13" i="48"/>
  <c r="J23" i="39"/>
  <c r="J24" i="39"/>
  <c r="J22" i="39"/>
  <c r="F17" i="39"/>
  <c r="F20" i="39"/>
  <c r="F21" i="39"/>
  <c r="D21" i="39"/>
  <c r="E21" i="39"/>
  <c r="E18" i="39"/>
  <c r="E19" i="39"/>
  <c r="E20" i="39"/>
  <c r="E17" i="39"/>
  <c r="D17" i="39"/>
  <c r="D20" i="39"/>
  <c r="F57" i="49"/>
  <c r="F55" i="49"/>
  <c r="F56" i="49"/>
  <c r="F54" i="49"/>
  <c r="F42" i="49"/>
  <c r="F35" i="49"/>
  <c r="F29" i="49"/>
  <c r="F19" i="49"/>
  <c r="F18" i="39"/>
  <c r="D26" i="47"/>
  <c r="B26" i="47"/>
  <c r="G16" i="48"/>
  <c r="F16" i="48"/>
  <c r="J13" i="39"/>
  <c r="K12" i="39"/>
  <c r="K11" i="39"/>
  <c r="K10" i="39"/>
  <c r="J12" i="39"/>
  <c r="J11" i="39"/>
  <c r="J10" i="39"/>
  <c r="I9" i="39"/>
  <c r="G10" i="39"/>
  <c r="G9" i="39"/>
  <c r="G8" i="39"/>
  <c r="G7" i="39"/>
  <c r="G6" i="39"/>
  <c r="G5" i="39"/>
  <c r="F13" i="39"/>
  <c r="E9" i="39"/>
  <c r="E10" i="39"/>
  <c r="E7" i="39"/>
  <c r="E11" i="39"/>
  <c r="E12" i="39"/>
  <c r="E6" i="39"/>
  <c r="E5" i="39"/>
  <c r="D8" i="39"/>
  <c r="E8" i="39" s="1"/>
  <c r="C9" i="39"/>
  <c r="C6" i="39"/>
  <c r="B34" i="20"/>
  <c r="F34" i="20"/>
  <c r="A34" i="20"/>
  <c r="C59" i="20"/>
  <c r="D59" i="20"/>
  <c r="E59" i="20"/>
  <c r="F59" i="20"/>
  <c r="G59" i="20"/>
  <c r="H59" i="20"/>
  <c r="B59" i="20"/>
  <c r="C58" i="20"/>
  <c r="D58" i="20" s="1"/>
  <c r="E58" i="20" s="1"/>
  <c r="F58" i="20" s="1"/>
  <c r="G58" i="20" s="1"/>
  <c r="H58" i="20" s="1"/>
  <c r="K53" i="20"/>
  <c r="L53" i="20"/>
  <c r="C34" i="20" s="1"/>
  <c r="M53" i="20"/>
  <c r="D34" i="20" s="1"/>
  <c r="N53" i="20"/>
  <c r="E34" i="20" s="1"/>
  <c r="O53" i="20"/>
  <c r="J53" i="20"/>
  <c r="K52" i="20"/>
  <c r="L52" i="20" s="1"/>
  <c r="M52" i="20" s="1"/>
  <c r="N52" i="20" s="1"/>
  <c r="O52" i="20" s="1"/>
  <c r="C52" i="20"/>
  <c r="D52" i="20" s="1"/>
  <c r="E52" i="20" s="1"/>
  <c r="F52" i="20" s="1"/>
  <c r="G52" i="20" s="1"/>
  <c r="D10" i="44"/>
  <c r="D11" i="44"/>
  <c r="D12" i="44"/>
  <c r="D13" i="44"/>
  <c r="D14" i="44"/>
  <c r="D15" i="44"/>
  <c r="D16" i="44"/>
  <c r="D9" i="44"/>
  <c r="C8" i="19" l="1"/>
  <c r="C9" i="19" s="1"/>
  <c r="C10" i="19" s="1"/>
  <c r="C11" i="19" s="1"/>
  <c r="D5" i="19"/>
  <c r="D6" i="19" s="1"/>
  <c r="A39" i="12"/>
  <c r="H25" i="39"/>
  <c r="I13" i="39"/>
  <c r="H13" i="39"/>
  <c r="G13" i="39"/>
  <c r="C8" i="12" s="1"/>
  <c r="K13" i="39"/>
  <c r="C7" i="12" s="1"/>
  <c r="B16" i="25" s="1"/>
  <c r="D8" i="19" l="1"/>
  <c r="D9" i="19" s="1"/>
  <c r="D10" i="19" s="1"/>
  <c r="D11" i="19" s="1"/>
  <c r="D12" i="19" s="1"/>
  <c r="D13" i="19" s="1"/>
  <c r="D14" i="19" s="1"/>
  <c r="D15" i="19" s="1"/>
  <c r="D16" i="19" s="1"/>
  <c r="J25" i="39"/>
  <c r="G22" i="39"/>
  <c r="E13" i="39"/>
  <c r="A20" i="39"/>
  <c r="H65" i="20"/>
  <c r="I65" i="20" s="1"/>
  <c r="J65" i="20" s="1"/>
  <c r="K65" i="20" s="1"/>
  <c r="L65" i="20" s="1"/>
  <c r="M65" i="20" s="1"/>
  <c r="N65" i="20" s="1"/>
  <c r="O65" i="20" s="1"/>
  <c r="P65" i="20" s="1"/>
  <c r="H3" i="20"/>
  <c r="I3" i="20" s="1"/>
  <c r="J3" i="20" s="1"/>
  <c r="K3" i="20" s="1"/>
  <c r="L3" i="20" s="1"/>
  <c r="M3" i="20" s="1"/>
  <c r="N3" i="20" s="1"/>
  <c r="O3" i="20" s="1"/>
  <c r="P3" i="20" s="1"/>
  <c r="A5" i="44"/>
  <c r="D8" i="44"/>
  <c r="A10" i="44"/>
  <c r="A11" i="44"/>
  <c r="A13" i="44"/>
  <c r="A14" i="44"/>
  <c r="A15" i="44"/>
  <c r="A16" i="44"/>
  <c r="A9" i="44"/>
  <c r="D13" i="39" l="1"/>
  <c r="B13" i="39"/>
  <c r="D25" i="39"/>
  <c r="E6" i="19"/>
  <c r="G34" i="20"/>
  <c r="H34" i="20" s="1"/>
  <c r="I34" i="20" s="1"/>
  <c r="J34" i="20" s="1"/>
  <c r="K34" i="20" s="1"/>
  <c r="L34" i="20" s="1"/>
  <c r="M34" i="20" s="1"/>
  <c r="N34" i="20" s="1"/>
  <c r="O34" i="20" s="1"/>
  <c r="P34" i="20" s="1"/>
  <c r="H28" i="39"/>
  <c r="I28" i="39" s="1"/>
  <c r="J28" i="39" s="1"/>
  <c r="H29" i="39"/>
  <c r="I29" i="39" s="1"/>
  <c r="J29" i="39" s="1"/>
  <c r="H30" i="39"/>
  <c r="I30" i="39" s="1"/>
  <c r="J30" i="39" s="1"/>
  <c r="H27" i="39"/>
  <c r="I27" i="39" s="1"/>
  <c r="J27" i="39" s="1"/>
  <c r="B31" i="39"/>
  <c r="H31" i="39" s="1"/>
  <c r="I31" i="39" s="1"/>
  <c r="C27" i="39"/>
  <c r="D27" i="39" s="1"/>
  <c r="B25" i="39" l="1"/>
  <c r="B32" i="12"/>
  <c r="Q17" i="39"/>
  <c r="Q18" i="39"/>
  <c r="P16" i="39"/>
  <c r="Q16" i="39" s="1"/>
  <c r="Q19" i="39" s="1"/>
  <c r="B14" i="12" l="1"/>
  <c r="B44" i="12"/>
  <c r="F25" i="39"/>
  <c r="B17" i="12" s="1"/>
  <c r="Q10" i="39"/>
  <c r="Q11" i="39"/>
  <c r="P13" i="39"/>
  <c r="O17" i="39"/>
  <c r="O18" i="39"/>
  <c r="O16" i="39"/>
  <c r="O13" i="39"/>
  <c r="Q12" i="39"/>
  <c r="B20" i="44"/>
  <c r="B21" i="44"/>
  <c r="B22" i="44"/>
  <c r="B23" i="44"/>
  <c r="B19" i="44"/>
  <c r="K23" i="39"/>
  <c r="R17" i="39"/>
  <c r="R18" i="39"/>
  <c r="R16" i="39"/>
  <c r="Q13" i="39" l="1"/>
  <c r="C19" i="39"/>
  <c r="G19" i="39"/>
  <c r="K22" i="39"/>
  <c r="K24" i="39"/>
  <c r="C20" i="39"/>
  <c r="G20" i="39"/>
  <c r="C18" i="39"/>
  <c r="G18" i="39"/>
  <c r="C17" i="39"/>
  <c r="G17" i="39"/>
  <c r="R19" i="39"/>
  <c r="C21" i="39" l="1"/>
  <c r="C25" i="39" s="1"/>
  <c r="I21" i="39"/>
  <c r="G21" i="39"/>
  <c r="G25" i="39" s="1"/>
  <c r="C17" i="12" s="1"/>
  <c r="C13" i="39"/>
  <c r="K25" i="39"/>
  <c r="C16" i="12" s="1"/>
  <c r="H8" i="27"/>
  <c r="I25" i="39" l="1"/>
  <c r="C18" i="12" s="1"/>
  <c r="C40" i="12"/>
  <c r="F6" i="19"/>
  <c r="F14" i="25"/>
  <c r="C14" i="12"/>
  <c r="F4" i="25"/>
  <c r="L9" i="39"/>
  <c r="E25" i="39" l="1"/>
  <c r="C15" i="12" s="1"/>
  <c r="B18" i="12" l="1"/>
  <c r="C8" i="25" s="1"/>
  <c r="D8" i="25" s="1"/>
  <c r="C4" i="25"/>
  <c r="D4" i="25" s="1"/>
  <c r="C18" i="25"/>
  <c r="D18" i="25" s="1"/>
  <c r="E5" i="46"/>
  <c r="E6" i="46"/>
  <c r="E7" i="46"/>
  <c r="E8" i="46"/>
  <c r="E9" i="46"/>
  <c r="E14" i="46"/>
  <c r="E15" i="46"/>
  <c r="E16" i="46"/>
  <c r="E17" i="46"/>
  <c r="E18" i="46"/>
  <c r="F19" i="46"/>
  <c r="E19" i="46"/>
  <c r="E10" i="46"/>
  <c r="B10" i="46"/>
  <c r="D19" i="46"/>
  <c r="C19" i="46"/>
  <c r="B19" i="46"/>
  <c r="A17" i="46"/>
  <c r="D10" i="46"/>
  <c r="C10" i="46"/>
  <c r="E11" i="19" l="1"/>
  <c r="F8" i="25" s="1"/>
  <c r="F11" i="19"/>
  <c r="F18" i="25" s="1"/>
  <c r="C14" i="25"/>
  <c r="D14" i="25" s="1"/>
  <c r="B64" i="20"/>
  <c r="C64" i="20" s="1"/>
  <c r="D64" i="20" s="1"/>
  <c r="E64" i="20" s="1"/>
  <c r="F64" i="20" s="1"/>
  <c r="G64" i="20" s="1"/>
  <c r="H64" i="20" s="1"/>
  <c r="I64" i="20" s="1"/>
  <c r="J64" i="20" s="1"/>
  <c r="K64" i="20" s="1"/>
  <c r="L64" i="20" s="1"/>
  <c r="M64" i="20" s="1"/>
  <c r="N64" i="20" s="1"/>
  <c r="O64" i="20" s="1"/>
  <c r="P64" i="20" s="1"/>
  <c r="C9" i="12"/>
  <c r="B9" i="12"/>
  <c r="B8" i="25" s="1"/>
  <c r="C16" i="25" l="1"/>
  <c r="F10" i="19"/>
  <c r="B18" i="25"/>
  <c r="F16" i="25" l="1"/>
  <c r="C2" i="20"/>
  <c r="E8" i="25"/>
  <c r="H18" i="25"/>
  <c r="G18" i="25" s="1"/>
  <c r="E18" i="25"/>
  <c r="D2" i="20" l="1"/>
  <c r="H8" i="25"/>
  <c r="G8" i="25" s="1"/>
  <c r="R86" i="42"/>
  <c r="Q86" i="42"/>
  <c r="R73" i="42"/>
  <c r="Q73" i="42"/>
  <c r="R60" i="42"/>
  <c r="Q60" i="42"/>
  <c r="R47" i="42"/>
  <c r="Q47" i="42"/>
  <c r="R34" i="42"/>
  <c r="Q34" i="42"/>
  <c r="N31" i="42"/>
  <c r="N32" i="42"/>
  <c r="N33" i="42"/>
  <c r="N30" i="42"/>
  <c r="J91" i="42"/>
  <c r="J78" i="42"/>
  <c r="J65" i="42"/>
  <c r="J52" i="42"/>
  <c r="E89" i="42"/>
  <c r="D88" i="42"/>
  <c r="B88" i="42"/>
  <c r="D87" i="42"/>
  <c r="B87" i="42"/>
  <c r="D86" i="42"/>
  <c r="B86" i="42"/>
  <c r="D85" i="42"/>
  <c r="B85" i="42"/>
  <c r="D84" i="42"/>
  <c r="B84" i="42"/>
  <c r="D83" i="42"/>
  <c r="B83" i="42"/>
  <c r="E82" i="42"/>
  <c r="D82" i="42" s="1"/>
  <c r="B82" i="42"/>
  <c r="E76" i="42"/>
  <c r="D75" i="42"/>
  <c r="B75" i="42"/>
  <c r="D74" i="42"/>
  <c r="B74" i="42"/>
  <c r="D73" i="42"/>
  <c r="B73" i="42"/>
  <c r="D72" i="42"/>
  <c r="B72" i="42"/>
  <c r="D71" i="42"/>
  <c r="B71" i="42"/>
  <c r="D70" i="42"/>
  <c r="B70" i="42"/>
  <c r="E69" i="42"/>
  <c r="D69" i="42" s="1"/>
  <c r="B69" i="42"/>
  <c r="E63" i="42"/>
  <c r="D62" i="42"/>
  <c r="B62" i="42"/>
  <c r="D61" i="42"/>
  <c r="B61" i="42"/>
  <c r="D60" i="42"/>
  <c r="B60" i="42"/>
  <c r="D59" i="42"/>
  <c r="B59" i="42"/>
  <c r="D58" i="42"/>
  <c r="B58" i="42"/>
  <c r="D57" i="42"/>
  <c r="B57" i="42"/>
  <c r="E56" i="42"/>
  <c r="D56" i="42" s="1"/>
  <c r="B56" i="42"/>
  <c r="E50" i="42"/>
  <c r="D49" i="42"/>
  <c r="B49" i="42"/>
  <c r="D48" i="42"/>
  <c r="B48" i="42"/>
  <c r="D47" i="42"/>
  <c r="B47" i="42"/>
  <c r="D46" i="42"/>
  <c r="B46" i="42"/>
  <c r="D45" i="42"/>
  <c r="B45" i="42"/>
  <c r="D44" i="42"/>
  <c r="B44" i="42"/>
  <c r="E43" i="42"/>
  <c r="D43" i="42" s="1"/>
  <c r="B43" i="42"/>
  <c r="E37" i="42"/>
  <c r="D36" i="42"/>
  <c r="B36" i="42"/>
  <c r="D35" i="42"/>
  <c r="B35" i="42"/>
  <c r="D34" i="42"/>
  <c r="B34" i="42"/>
  <c r="D33" i="42"/>
  <c r="B33" i="42"/>
  <c r="D32" i="42"/>
  <c r="B32" i="42"/>
  <c r="D31" i="42"/>
  <c r="B31" i="42"/>
  <c r="E30" i="42"/>
  <c r="D30" i="42" s="1"/>
  <c r="B30" i="42"/>
  <c r="E2" i="20" l="1"/>
  <c r="F2" i="20" s="1"/>
  <c r="G2" i="20" s="1"/>
  <c r="J39" i="42"/>
  <c r="G101" i="42"/>
  <c r="B101" i="42"/>
  <c r="O30" i="42"/>
  <c r="H2" i="20" l="1"/>
  <c r="I2" i="20" s="1"/>
  <c r="J2" i="20" s="1"/>
  <c r="K2" i="20" s="1"/>
  <c r="L2" i="20" s="1"/>
  <c r="M2" i="20" s="1"/>
  <c r="N2" i="20" s="1"/>
  <c r="O2" i="20" s="1"/>
  <c r="P2" i="20" s="1"/>
  <c r="O97" i="42"/>
  <c r="B98" i="42"/>
  <c r="B4" i="25"/>
  <c r="I30" i="42" l="1"/>
  <c r="C97" i="42" s="1"/>
  <c r="I31" i="42"/>
  <c r="H16" i="19"/>
  <c r="I34" i="42" l="1"/>
  <c r="S30" i="42"/>
  <c r="B104" i="42" l="1"/>
  <c r="I37" i="42"/>
  <c r="B103" i="42"/>
  <c r="O43" i="42"/>
  <c r="S43" i="42" s="1"/>
  <c r="O56" i="42" s="1"/>
  <c r="S56" i="42" s="1"/>
  <c r="O69" i="42" s="1"/>
  <c r="S69" i="42" s="1"/>
  <c r="O82" i="42" s="1"/>
  <c r="S82" i="42" s="1"/>
  <c r="S97" i="42" s="1"/>
  <c r="Q97" i="42"/>
  <c r="H4" i="25"/>
  <c r="G4" i="25" s="1"/>
  <c r="K31" i="42"/>
  <c r="C98" i="42"/>
  <c r="L12" i="39" l="1"/>
  <c r="L11" i="39"/>
  <c r="B102" i="42"/>
  <c r="O32" i="42"/>
  <c r="S32" i="42" s="1"/>
  <c r="Q99" i="42" s="1"/>
  <c r="O99" i="42"/>
  <c r="I36" i="42"/>
  <c r="K36" i="42" s="1"/>
  <c r="B100" i="42"/>
  <c r="G100" i="42"/>
  <c r="K30" i="42"/>
  <c r="L30" i="42" s="1"/>
  <c r="H97" i="42" s="1"/>
  <c r="I44" i="42"/>
  <c r="K44" i="42" s="1"/>
  <c r="L31" i="42"/>
  <c r="H98" i="42" s="1"/>
  <c r="K37" i="42"/>
  <c r="C104" i="42"/>
  <c r="K34" i="42"/>
  <c r="C101" i="42"/>
  <c r="L10" i="39" l="1"/>
  <c r="B16" i="12"/>
  <c r="E10" i="19" s="1"/>
  <c r="C103" i="42"/>
  <c r="O45" i="42"/>
  <c r="S45" i="42" s="1"/>
  <c r="O58" i="42" s="1"/>
  <c r="S58" i="42" s="1"/>
  <c r="O71" i="42" s="1"/>
  <c r="S71" i="42" s="1"/>
  <c r="O84" i="42" s="1"/>
  <c r="S84" i="42" s="1"/>
  <c r="S99" i="42" s="1"/>
  <c r="I35" i="42"/>
  <c r="B99" i="42"/>
  <c r="I33" i="42"/>
  <c r="I47" i="42"/>
  <c r="K47" i="42" s="1"/>
  <c r="L34" i="42"/>
  <c r="H101" i="42" s="1"/>
  <c r="I50" i="42"/>
  <c r="K50" i="42" s="1"/>
  <c r="L37" i="42"/>
  <c r="H104" i="42" s="1"/>
  <c r="I57" i="42"/>
  <c r="K57" i="42" s="1"/>
  <c r="L44" i="42"/>
  <c r="L36" i="42"/>
  <c r="H103" i="42" s="1"/>
  <c r="I49" i="42"/>
  <c r="K49" i="42" s="1"/>
  <c r="I43" i="42"/>
  <c r="C44" i="12" l="1"/>
  <c r="C6" i="25"/>
  <c r="F7" i="25"/>
  <c r="H10" i="27"/>
  <c r="F6" i="25"/>
  <c r="B15" i="12"/>
  <c r="C5" i="25" s="1"/>
  <c r="C7" i="25"/>
  <c r="K35" i="42"/>
  <c r="C102" i="42"/>
  <c r="I32" i="42"/>
  <c r="K33" i="42"/>
  <c r="C100" i="42"/>
  <c r="I63" i="42"/>
  <c r="K63" i="42" s="1"/>
  <c r="L50" i="42"/>
  <c r="I60" i="42"/>
  <c r="K60" i="42" s="1"/>
  <c r="L47" i="42"/>
  <c r="I62" i="42"/>
  <c r="K62" i="42" s="1"/>
  <c r="L49" i="42"/>
  <c r="I70" i="42"/>
  <c r="K70" i="42" s="1"/>
  <c r="L57" i="42"/>
  <c r="K43" i="42"/>
  <c r="C17" i="25" l="1"/>
  <c r="C19" i="12"/>
  <c r="F5" i="25"/>
  <c r="F9" i="25" s="1"/>
  <c r="L25" i="39"/>
  <c r="B19" i="12"/>
  <c r="I48" i="42"/>
  <c r="K48" i="42" s="1"/>
  <c r="L35" i="42"/>
  <c r="H102" i="42" s="1"/>
  <c r="K32" i="42"/>
  <c r="C99" i="42"/>
  <c r="C106" i="42" s="1"/>
  <c r="I39" i="42"/>
  <c r="L33" i="42"/>
  <c r="H100" i="42" s="1"/>
  <c r="I46" i="42"/>
  <c r="K46" i="42" s="1"/>
  <c r="L70" i="42"/>
  <c r="I83" i="42"/>
  <c r="K83" i="42" s="1"/>
  <c r="L43" i="42"/>
  <c r="I56" i="42"/>
  <c r="I73" i="42"/>
  <c r="K73" i="42" s="1"/>
  <c r="L60" i="42"/>
  <c r="L62" i="42"/>
  <c r="I75" i="42"/>
  <c r="K75" i="42" s="1"/>
  <c r="I76" i="42"/>
  <c r="K76" i="42" s="1"/>
  <c r="L63" i="42"/>
  <c r="D23" i="37"/>
  <c r="E23" i="37"/>
  <c r="F23" i="37"/>
  <c r="G23" i="37"/>
  <c r="H23" i="37"/>
  <c r="I23" i="37"/>
  <c r="J23" i="37"/>
  <c r="K23" i="37"/>
  <c r="L23" i="37"/>
  <c r="M23" i="37"/>
  <c r="N23" i="37"/>
  <c r="C23" i="37"/>
  <c r="R10" i="37"/>
  <c r="D10" i="37"/>
  <c r="E10" i="37"/>
  <c r="F10" i="37"/>
  <c r="G10" i="37"/>
  <c r="H10" i="37"/>
  <c r="I10" i="37"/>
  <c r="J10" i="37"/>
  <c r="K10" i="37"/>
  <c r="L10" i="37"/>
  <c r="M10" i="37"/>
  <c r="N10" i="37"/>
  <c r="O10" i="37"/>
  <c r="P10" i="37"/>
  <c r="Q10" i="37"/>
  <c r="C10" i="37"/>
  <c r="D20" i="37"/>
  <c r="E20" i="37"/>
  <c r="F20" i="37"/>
  <c r="G20" i="37"/>
  <c r="H20" i="37"/>
  <c r="I20" i="37"/>
  <c r="J20" i="37"/>
  <c r="K20" i="37"/>
  <c r="L20" i="37"/>
  <c r="M20" i="37"/>
  <c r="N20" i="37"/>
  <c r="C20" i="37"/>
  <c r="B23" i="37"/>
  <c r="B22" i="37"/>
  <c r="B10" i="37"/>
  <c r="B9" i="37"/>
  <c r="R7" i="37"/>
  <c r="Q7" i="37"/>
  <c r="P7" i="37"/>
  <c r="O7" i="37"/>
  <c r="N7" i="37"/>
  <c r="M7" i="37"/>
  <c r="L7" i="37"/>
  <c r="K7" i="37"/>
  <c r="J7" i="37"/>
  <c r="I7" i="37"/>
  <c r="H7" i="37"/>
  <c r="G7" i="37"/>
  <c r="F7" i="37"/>
  <c r="E7" i="37"/>
  <c r="D7" i="37"/>
  <c r="C7" i="37"/>
  <c r="C15" i="25" l="1"/>
  <c r="F17" i="25"/>
  <c r="F15" i="25"/>
  <c r="I61" i="42"/>
  <c r="K61" i="42" s="1"/>
  <c r="L48" i="42"/>
  <c r="I59" i="42"/>
  <c r="K59" i="42" s="1"/>
  <c r="L46" i="42"/>
  <c r="I45" i="42"/>
  <c r="L32" i="42"/>
  <c r="K39" i="42"/>
  <c r="D98" i="42"/>
  <c r="L83" i="42"/>
  <c r="I98" i="42" s="1"/>
  <c r="K56" i="42"/>
  <c r="L73" i="42"/>
  <c r="I86" i="42"/>
  <c r="K86" i="42" s="1"/>
  <c r="L76" i="42"/>
  <c r="I89" i="42"/>
  <c r="K89" i="42" s="1"/>
  <c r="L75" i="42"/>
  <c r="I88" i="42"/>
  <c r="K88" i="42" s="1"/>
  <c r="E6" i="27"/>
  <c r="H3" i="27"/>
  <c r="G2" i="27"/>
  <c r="I2" i="27" s="1"/>
  <c r="D2" i="27"/>
  <c r="F2" i="27" s="1"/>
  <c r="H2" i="27" s="1"/>
  <c r="H13" i="25"/>
  <c r="G13" i="25"/>
  <c r="F13" i="25"/>
  <c r="E13" i="25"/>
  <c r="D13" i="25"/>
  <c r="G12" i="25"/>
  <c r="F12" i="25"/>
  <c r="H12" i="25" s="1"/>
  <c r="O3" i="25"/>
  <c r="H2" i="25"/>
  <c r="G2" i="25"/>
  <c r="A21" i="12"/>
  <c r="L61" i="42" l="1"/>
  <c r="I74" i="42"/>
  <c r="K74" i="42" s="1"/>
  <c r="H99" i="42"/>
  <c r="H106" i="42" s="1"/>
  <c r="L39" i="42"/>
  <c r="K45" i="42"/>
  <c r="I52" i="42"/>
  <c r="I72" i="42"/>
  <c r="K72" i="42" s="1"/>
  <c r="L59" i="42"/>
  <c r="L86" i="42"/>
  <c r="I101" i="42" s="1"/>
  <c r="D101" i="42"/>
  <c r="D103" i="42"/>
  <c r="L88" i="42"/>
  <c r="I103" i="42" s="1"/>
  <c r="I69" i="42"/>
  <c r="L56" i="42"/>
  <c r="L89" i="42"/>
  <c r="I104" i="42" s="1"/>
  <c r="D104" i="42"/>
  <c r="F8" i="27"/>
  <c r="O4" i="25"/>
  <c r="O5" i="25" s="1"/>
  <c r="L74" i="42" l="1"/>
  <c r="I87" i="42"/>
  <c r="K87" i="42" s="1"/>
  <c r="D102" i="42" s="1"/>
  <c r="L72" i="42"/>
  <c r="I85" i="42"/>
  <c r="K85" i="42" s="1"/>
  <c r="I58" i="42"/>
  <c r="L45" i="42"/>
  <c r="L52" i="42" s="1"/>
  <c r="K52" i="42"/>
  <c r="K69" i="42"/>
  <c r="L87" i="42" l="1"/>
  <c r="I102" i="42" s="1"/>
  <c r="K58" i="42"/>
  <c r="I65" i="42"/>
  <c r="D100" i="42"/>
  <c r="L85" i="42"/>
  <c r="I100" i="42" s="1"/>
  <c r="I82" i="42"/>
  <c r="L69" i="42"/>
  <c r="I71" i="42" l="1"/>
  <c r="L58" i="42"/>
  <c r="L65" i="42" s="1"/>
  <c r="K65" i="42"/>
  <c r="K82" i="42"/>
  <c r="B11" i="27"/>
  <c r="K71" i="42" l="1"/>
  <c r="I78" i="42"/>
  <c r="L82" i="42"/>
  <c r="D97" i="42"/>
  <c r="E3" i="19"/>
  <c r="E16" i="19" s="1"/>
  <c r="I84" i="42" l="1"/>
  <c r="L71" i="42"/>
  <c r="L78" i="42" s="1"/>
  <c r="K78" i="42"/>
  <c r="I97" i="42"/>
  <c r="H11" i="27"/>
  <c r="H14" i="25"/>
  <c r="K84" i="42" l="1"/>
  <c r="I91" i="42"/>
  <c r="E4" i="25"/>
  <c r="D99" i="42" l="1"/>
  <c r="D106" i="42" s="1"/>
  <c r="L84" i="42"/>
  <c r="K91" i="42"/>
  <c r="F9" i="27"/>
  <c r="I99" i="42" l="1"/>
  <c r="I106" i="42" s="1"/>
  <c r="L91" i="42"/>
  <c r="B6" i="25"/>
  <c r="C19" i="25" l="1"/>
  <c r="K19" i="25" s="1"/>
  <c r="H16" i="25" l="1"/>
  <c r="D19" i="25"/>
  <c r="L16" i="25" s="1"/>
  <c r="K17" i="25"/>
  <c r="K15" i="25"/>
  <c r="K16" i="25"/>
  <c r="K14" i="25"/>
  <c r="I15" i="25" l="1"/>
  <c r="L15" i="25"/>
  <c r="L17" i="25"/>
  <c r="I5" i="25"/>
  <c r="L14" i="25"/>
  <c r="H7" i="25" l="1"/>
  <c r="C9" i="25"/>
  <c r="D4" i="27" s="1"/>
  <c r="E8" i="27" s="1"/>
  <c r="E6" i="25"/>
  <c r="H6" i="25"/>
  <c r="G6" i="25" s="1"/>
  <c r="E9" i="27" l="1"/>
  <c r="E10" i="27"/>
  <c r="F10" i="27"/>
  <c r="F11" i="27" s="1"/>
  <c r="D11" i="27"/>
  <c r="E11" i="27" s="1"/>
  <c r="G104" i="42" l="1"/>
  <c r="G103" i="42" l="1"/>
  <c r="P30" i="42"/>
  <c r="T30" i="42" s="1"/>
  <c r="R97" i="42" l="1"/>
  <c r="P43" i="42"/>
  <c r="T43" i="42" s="1"/>
  <c r="P56" i="42" s="1"/>
  <c r="T56" i="42" s="1"/>
  <c r="P69" i="42" s="1"/>
  <c r="T69" i="42" s="1"/>
  <c r="P82" i="42" s="1"/>
  <c r="T82" i="42" s="1"/>
  <c r="T97" i="42" s="1"/>
  <c r="P99" i="42"/>
  <c r="P32" i="42"/>
  <c r="T32" i="42" s="1"/>
  <c r="E16" i="25"/>
  <c r="H17" i="25"/>
  <c r="G102" i="42"/>
  <c r="P97" i="42"/>
  <c r="F3" i="19"/>
  <c r="F16" i="19" s="1"/>
  <c r="B14" i="25"/>
  <c r="G99" i="42"/>
  <c r="G98" i="42"/>
  <c r="P45" i="42" l="1"/>
  <c r="T45" i="42" s="1"/>
  <c r="P58" i="42" s="1"/>
  <c r="T58" i="42" s="1"/>
  <c r="P71" i="42" s="1"/>
  <c r="T71" i="42" s="1"/>
  <c r="P84" i="42" s="1"/>
  <c r="T84" i="42" s="1"/>
  <c r="T99" i="42" s="1"/>
  <c r="R99" i="42"/>
  <c r="G16" i="25"/>
  <c r="E14" i="25"/>
  <c r="G14" i="25"/>
  <c r="H15" i="25" l="1"/>
  <c r="F19" i="25"/>
  <c r="H19" i="25" s="1"/>
  <c r="O33" i="42" l="1"/>
  <c r="S33" i="42" s="1"/>
  <c r="O100" i="42"/>
  <c r="B7" i="25"/>
  <c r="O31" i="42"/>
  <c r="O34" i="42" l="1"/>
  <c r="O98" i="42"/>
  <c r="O101" i="42" s="1"/>
  <c r="S31" i="42"/>
  <c r="S34" i="42" s="1"/>
  <c r="B5" i="25"/>
  <c r="M15" i="39"/>
  <c r="B10" i="12"/>
  <c r="E7" i="25"/>
  <c r="G7" i="25"/>
  <c r="O46" i="42"/>
  <c r="S46" i="42" s="1"/>
  <c r="O59" i="42" s="1"/>
  <c r="S59" i="42" s="1"/>
  <c r="O72" i="42" s="1"/>
  <c r="S72" i="42" s="1"/>
  <c r="O85" i="42" s="1"/>
  <c r="S85" i="42" s="1"/>
  <c r="S100" i="42" s="1"/>
  <c r="Q100" i="42"/>
  <c r="Q98" i="42" l="1"/>
  <c r="B97" i="42"/>
  <c r="B106" i="42" s="1"/>
  <c r="D108" i="42" s="1"/>
  <c r="D9" i="25"/>
  <c r="B9" i="25"/>
  <c r="J6" i="25" s="1"/>
  <c r="O44" i="42"/>
  <c r="O47" i="42" s="1"/>
  <c r="P100" i="42"/>
  <c r="B17" i="25"/>
  <c r="P33" i="42"/>
  <c r="T33" i="42" s="1"/>
  <c r="Q101" i="42"/>
  <c r="C32" i="12"/>
  <c r="L13" i="39"/>
  <c r="S44" i="42" l="1"/>
  <c r="O57" i="42" s="1"/>
  <c r="D109" i="42"/>
  <c r="E5" i="25"/>
  <c r="H5" i="25"/>
  <c r="G5" i="25" s="1"/>
  <c r="B4" i="27"/>
  <c r="C11" i="27" s="1"/>
  <c r="E9" i="25"/>
  <c r="H9" i="25"/>
  <c r="F4" i="27"/>
  <c r="J9" i="25"/>
  <c r="J10" i="25"/>
  <c r="I4" i="25"/>
  <c r="G97" i="42"/>
  <c r="G106" i="42" s="1"/>
  <c r="I108" i="42" s="1"/>
  <c r="P46" i="42"/>
  <c r="T46" i="42" s="1"/>
  <c r="P59" i="42" s="1"/>
  <c r="T59" i="42" s="1"/>
  <c r="P72" i="42" s="1"/>
  <c r="T72" i="42" s="1"/>
  <c r="P85" i="42" s="1"/>
  <c r="T85" i="42" s="1"/>
  <c r="T100" i="42" s="1"/>
  <c r="R100" i="42"/>
  <c r="G17" i="25"/>
  <c r="E17" i="25"/>
  <c r="L14" i="39"/>
  <c r="M14" i="39" s="1"/>
  <c r="C9" i="27" l="1"/>
  <c r="S47" i="42"/>
  <c r="C8" i="27"/>
  <c r="C10" i="27"/>
  <c r="G11" i="27"/>
  <c r="G9" i="27"/>
  <c r="G8" i="27"/>
  <c r="G10" i="27"/>
  <c r="H4" i="27"/>
  <c r="G9" i="25"/>
  <c r="S57" i="42"/>
  <c r="O60" i="42"/>
  <c r="B15" i="25"/>
  <c r="P98" i="42"/>
  <c r="P101" i="42" s="1"/>
  <c r="P31" i="42"/>
  <c r="C10" i="12"/>
  <c r="O70" i="42" l="1"/>
  <c r="S60" i="42"/>
  <c r="T31" i="42"/>
  <c r="P34" i="42"/>
  <c r="I8" i="27"/>
  <c r="I10" i="27"/>
  <c r="G15" i="25"/>
  <c r="B19" i="25"/>
  <c r="J15" i="25" s="1"/>
  <c r="E15" i="25"/>
  <c r="R98" i="42" l="1"/>
  <c r="R101" i="42" s="1"/>
  <c r="P44" i="42"/>
  <c r="T34" i="42"/>
  <c r="J16" i="25"/>
  <c r="G19" i="25"/>
  <c r="J14" i="25"/>
  <c r="E19" i="25"/>
  <c r="J19" i="25"/>
  <c r="J17" i="25"/>
  <c r="S70" i="42"/>
  <c r="O73" i="42"/>
  <c r="P47" i="42" l="1"/>
  <c r="T44" i="42"/>
  <c r="O83" i="42"/>
  <c r="S73" i="42"/>
  <c r="O86" i="42" l="1"/>
  <c r="S83" i="42"/>
  <c r="T47" i="42"/>
  <c r="P57" i="42"/>
  <c r="T57" i="42" l="1"/>
  <c r="P60" i="42"/>
  <c r="S98" i="42"/>
  <c r="S101" i="42" s="1"/>
  <c r="S86" i="42"/>
  <c r="T60" i="42" l="1"/>
  <c r="P70" i="42"/>
  <c r="T70" i="42" l="1"/>
  <c r="P73" i="42"/>
  <c r="P83" i="42" l="1"/>
  <c r="T73" i="42"/>
  <c r="T83" i="42" l="1"/>
  <c r="P86" i="42"/>
  <c r="T98" i="42" l="1"/>
  <c r="T101" i="42" s="1"/>
  <c r="T86" i="42"/>
</calcChain>
</file>

<file path=xl/comments1.xml><?xml version="1.0" encoding="utf-8"?>
<comments xmlns="http://schemas.openxmlformats.org/spreadsheetml/2006/main">
  <authors>
    <author>Autor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Proszę wskazać jeden z sektorów: 
-obiekty publiczne
-obiekty mieszkalne
-Transport
-Usługi, handel, przemysł
</t>
        </r>
      </text>
    </comment>
    <comment ref="B4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proszę wskazać tytuł zadania zgodnie z PLANEM DZIAŁAŃ
</t>
        </r>
      </text>
    </comment>
    <comment ref="F4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Proszę wskazać rok realizacji danego zadania: 2021,2022,2023,2024, 2025
</t>
        </r>
      </text>
    </comment>
    <comment ref="G4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Proszę wskazać jeden z nośników, w obrębie którego nastęuje redukcja w oparciu o audyt energetyczny lub audyt ex post. W przypadku wielu nośników, wartości należy rozbić do dwóch wierszy z osobna
</t>
        </r>
      </text>
    </comment>
    <comment ref="H4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Należy wskazać wartość adekwatnie do pozycji wykazanych w audycie energetycznym po realizacji zadania lub w audycie ex post</t>
        </r>
      </text>
    </comment>
    <comment ref="I4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Należy wskazać wartość adekwatnie do pozycji wykazanych w audycie energetycznym po realizacji zadania lub w audycie ex post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Wartości KOBIZE w zakresie WE oraz WO wskazywane są z roku na rok przez KOBIZE na stronie: https://www.kobize.pl/pl/article/monitorowanie-raportowanie-weryfikacja-emisji/id/318/tabele-wo-i-we. Wartości wpisuje się ręcznie adekwatnie dla danego nośnika
</t>
        </r>
      </text>
    </comment>
    <comment ref="J28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Wpisujemy wartości wskazane sumarycznie dla danego nośnika i w danym roku z pozycji koumny H </t>
        </r>
      </text>
    </comment>
    <comment ref="Q28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Wpisujemy wartości wskazane sumarycznie dla danego sektora i w danym roku z pozycji koumny H </t>
        </r>
      </text>
    </comment>
    <comment ref="R28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Wpisujemy wartości wskazane sumarycznie dla danego nośnika i w danym roku z pozycji koumny I</t>
        </r>
      </text>
    </comment>
  </commentList>
</comments>
</file>

<file path=xl/sharedStrings.xml><?xml version="1.0" encoding="utf-8"?>
<sst xmlns="http://schemas.openxmlformats.org/spreadsheetml/2006/main" count="1019" uniqueCount="364">
  <si>
    <t>Suma</t>
  </si>
  <si>
    <t>Mg/MWh</t>
  </si>
  <si>
    <t>GJ/Mg</t>
  </si>
  <si>
    <t>MWh/Mg</t>
  </si>
  <si>
    <t>Mg/GJ</t>
  </si>
  <si>
    <t>Węgiel kamienny</t>
  </si>
  <si>
    <t>Olej napędowy</t>
  </si>
  <si>
    <t>Benzyna silnikowa</t>
  </si>
  <si>
    <t>Olej opałowy</t>
  </si>
  <si>
    <t>Gaz ziemny</t>
  </si>
  <si>
    <t>LPG</t>
  </si>
  <si>
    <t>Paliwo</t>
  </si>
  <si>
    <t>Wartość opałowa</t>
  </si>
  <si>
    <t>Wskaźnik emisji CO2</t>
  </si>
  <si>
    <t>Energia elektryczna</t>
  </si>
  <si>
    <t>-</t>
  </si>
  <si>
    <t>Jednostka</t>
  </si>
  <si>
    <t>Gęstość</t>
  </si>
  <si>
    <t>kg/m3</t>
  </si>
  <si>
    <t>Zużycie energii</t>
  </si>
  <si>
    <t>Mg/rok</t>
  </si>
  <si>
    <t>MWh/rok</t>
  </si>
  <si>
    <t>Emisja CO2</t>
  </si>
  <si>
    <t>Nazwa</t>
  </si>
  <si>
    <t>Rodzaj paliwa</t>
  </si>
  <si>
    <t>Benzyna</t>
  </si>
  <si>
    <t>Sektor</t>
  </si>
  <si>
    <t>Obiekty publiczne</t>
  </si>
  <si>
    <t>Obiekty mieszkalne</t>
  </si>
  <si>
    <t>Transport</t>
  </si>
  <si>
    <t>Usługi, handel, przemysł</t>
  </si>
  <si>
    <t>Nazwa zadania</t>
  </si>
  <si>
    <t>Podmiot odpowiedzialny</t>
  </si>
  <si>
    <t>Termin realizacji zadania</t>
  </si>
  <si>
    <t>Roczne oszczędności energii</t>
  </si>
  <si>
    <t>Szacowane koszty</t>
  </si>
  <si>
    <t>[MWh/rok]</t>
  </si>
  <si>
    <t>[zł]</t>
  </si>
  <si>
    <t>kg/dm3</t>
  </si>
  <si>
    <t>BAZA DANYCH</t>
  </si>
  <si>
    <t>Mg CO2</t>
  </si>
  <si>
    <r>
      <t>Roczna redukcja emisji CO</t>
    </r>
    <r>
      <rPr>
        <b/>
        <vertAlign val="subscript"/>
        <sz val="10"/>
        <color theme="1"/>
        <rFont val="Calibri"/>
        <family val="2"/>
        <charset val="238"/>
        <scheme val="minor"/>
      </rPr>
      <t>2</t>
    </r>
  </si>
  <si>
    <r>
      <t>MgCO</t>
    </r>
    <r>
      <rPr>
        <b/>
        <vertAlign val="subscript"/>
        <sz val="10"/>
        <color theme="1"/>
        <rFont val="Calibri"/>
        <family val="2"/>
        <charset val="238"/>
        <scheme val="minor"/>
      </rPr>
      <t>2</t>
    </r>
    <r>
      <rPr>
        <b/>
        <sz val="10"/>
        <color theme="1"/>
        <rFont val="Calibri"/>
        <family val="2"/>
        <charset val="238"/>
        <scheme val="minor"/>
      </rPr>
      <t>/rok]</t>
    </r>
  </si>
  <si>
    <t>Wskaźniki wzrostu</t>
  </si>
  <si>
    <t>MWh/os. (m2)</t>
  </si>
  <si>
    <t>Bydynki mieszkalne bez zmian</t>
  </si>
  <si>
    <t>Bydynki mieszkalne plus termomodernizacja</t>
  </si>
  <si>
    <t>Bydynki mieszkalne przyłączone do sieci</t>
  </si>
  <si>
    <t xml:space="preserve">Urząd Gminy </t>
  </si>
  <si>
    <t>Wzrost/redukcja w stosunku do roku bazowego bez podjęcia działań Planu</t>
  </si>
  <si>
    <t>[%]</t>
  </si>
  <si>
    <t>Inwestorzy prywatni</t>
  </si>
  <si>
    <t>Produkcja energii z OZE</t>
  </si>
  <si>
    <t>Udział OZE</t>
  </si>
  <si>
    <t>Udział OZE w stosunku do roku bazowego</t>
  </si>
  <si>
    <t>W podziale na sektory:</t>
  </si>
  <si>
    <t>Udział OZE:</t>
  </si>
  <si>
    <t xml:space="preserve">Planowana wartość redukcji- cel redukcji </t>
  </si>
  <si>
    <t>Drewno opałowe</t>
  </si>
  <si>
    <t>Zarzadzanie efektywnością energetyczną:
• zarządzanie energią w obiektach użyteczności publicznej,                                                                                             • promowanie energetyki odnawialnej w ramach kampanii marketingowej dla mieszkańców/ broszura informacyjno- promująca OZE i ograniczanie zużycia energii oraz podnoszenie świadomości mieszkańców Gminy w zakresie działań redukujących przekroczenia pyłu PM10 oraz b(a)p 
•  uwzględnianie kryteriów efektywności energetycznej w definiowaniu wymagań dotyczących zakupu produktów i usług,
•  wspieranie produktów i usług efektywnych energetycznie
• promowanie energetyki odnawialnej w ramach kampanii marketingowej dla mieszkańców/ broszura informacyjno- promująca OZE i ograniczanie zużycia energii</t>
  </si>
  <si>
    <t>środki prywatne</t>
  </si>
  <si>
    <t>Planowana wartość redukcji w stosunku do roku bazowego</t>
  </si>
  <si>
    <t>Produkcja energii z OZE w wyniku Planu Działań</t>
  </si>
  <si>
    <t>benzyna</t>
  </si>
  <si>
    <t>motorowery</t>
  </si>
  <si>
    <t>Obiekty publiczne i oświetlenie</t>
  </si>
  <si>
    <t>2018-2020</t>
  </si>
  <si>
    <t>Kod</t>
  </si>
  <si>
    <t>samochody osobowe</t>
  </si>
  <si>
    <t>samochody ciężarowe</t>
  </si>
  <si>
    <t>autobusy</t>
  </si>
  <si>
    <t>ciągniki siodłowe</t>
  </si>
  <si>
    <t>olej napędowy</t>
  </si>
  <si>
    <t>gaz (LPG)</t>
  </si>
  <si>
    <t>pozostałe</t>
  </si>
  <si>
    <t>2016</t>
  </si>
  <si>
    <t>[szt.]</t>
  </si>
  <si>
    <t>2407000</t>
  </si>
  <si>
    <t>Powiat lubliniecki</t>
  </si>
  <si>
    <t>Ludnośc powiat</t>
  </si>
  <si>
    <t>kochanowice</t>
  </si>
  <si>
    <t>powiat</t>
  </si>
  <si>
    <t>gmina</t>
  </si>
  <si>
    <t>pojazdy samochodowe i ciągniki</t>
  </si>
  <si>
    <t>motocykle ogółem</t>
  </si>
  <si>
    <t>motocykle o pojemności silnika do 125 cm3</t>
  </si>
  <si>
    <t>autobusy ogółem</t>
  </si>
  <si>
    <t>samochody ciężarowo - osobowe</t>
  </si>
  <si>
    <t>samochody specjalne (łącznie z sanitarnymi)</t>
  </si>
  <si>
    <t>ciągniki samochodowe</t>
  </si>
  <si>
    <t>ciągniki rolnicze</t>
  </si>
  <si>
    <t>2020 rok:</t>
  </si>
  <si>
    <t>Rok 2020:</t>
  </si>
  <si>
    <t>Społeczeństwo</t>
  </si>
  <si>
    <t>Usługi i handel</t>
  </si>
  <si>
    <t>OZE</t>
  </si>
  <si>
    <t>Metodologia obliczeń</t>
  </si>
  <si>
    <t>Szczegółowa inwentaryzacja źródeł ciepła zgodna z POP oraz zgodna z wymogami CEEB</t>
  </si>
  <si>
    <t>Zadanie nieinwestycyjne</t>
  </si>
  <si>
    <t>ROK 2021</t>
  </si>
  <si>
    <t>ROK 2022</t>
  </si>
  <si>
    <t>Źródło danych: KOBIZE adekwatnie dla danego roku</t>
  </si>
  <si>
    <t>ROK 2023</t>
  </si>
  <si>
    <t>ROK 2024</t>
  </si>
  <si>
    <t>ROK 2025</t>
  </si>
  <si>
    <t>Nośnik</t>
  </si>
  <si>
    <t>Zużycie w roku 2020</t>
  </si>
  <si>
    <t>Redukcja zużycia energii w roku 2021</t>
  </si>
  <si>
    <t>Zużycie w roku 2021</t>
  </si>
  <si>
    <t>Redukcja zużycia energii w roku 2022</t>
  </si>
  <si>
    <t>Zużycie w roku 2022</t>
  </si>
  <si>
    <t>Redukcja zużycia energii w roku 2023</t>
  </si>
  <si>
    <t>Zużycie w roku 2023</t>
  </si>
  <si>
    <t>Redukcja zużycia energii w roku 2024</t>
  </si>
  <si>
    <t>Zużycie w roku 2024</t>
  </si>
  <si>
    <t>Redukcja zużycia energii w roku 2025</t>
  </si>
  <si>
    <t>Zużycie w roku 2025</t>
  </si>
  <si>
    <t>Emisja w roku 2021</t>
  </si>
  <si>
    <t>[MgCO2/rok]</t>
  </si>
  <si>
    <t>Emisja CO2 w roku 2020</t>
  </si>
  <si>
    <t>Emisja CO2 w roku 2025</t>
  </si>
  <si>
    <t>Stopień redukcji:</t>
  </si>
  <si>
    <t>Wzrost udziału z OZE:</t>
  </si>
  <si>
    <t>ZBIORCZE PODSUMOWANIE z realizacji Planu Działań do roku 2025</t>
  </si>
  <si>
    <t>SEKTOR</t>
  </si>
  <si>
    <t>Redukcja emisji CO2 w roku 2021</t>
  </si>
  <si>
    <t>Emisja CO2 w roku 2021</t>
  </si>
  <si>
    <t>Redukcja emisji CO2 w roku 2022</t>
  </si>
  <si>
    <t>Emisja w roku 2022</t>
  </si>
  <si>
    <t>Emisja CO2 w roku 2022</t>
  </si>
  <si>
    <t>Redukcja emisji CO2 w roku 2023</t>
  </si>
  <si>
    <t>Emisja w roku 2023</t>
  </si>
  <si>
    <t>Emisja CO2 w roku 2023</t>
  </si>
  <si>
    <t>Redukcja emisji CO2 w roku 2024</t>
  </si>
  <si>
    <t>Emisja CO2 w roku 2024</t>
  </si>
  <si>
    <t>Redukcja emisji CO2 w roku 2025</t>
  </si>
  <si>
    <t>Emisja w roku 2025</t>
  </si>
  <si>
    <t>Emisja w roku 2024</t>
  </si>
  <si>
    <t>Tytuł zadania</t>
  </si>
  <si>
    <t>rok realizacji</t>
  </si>
  <si>
    <t>redukcja zużycia energii [MWh/rok]</t>
  </si>
  <si>
    <t>redukcja emisji CO2 [MgCO2/rok]</t>
  </si>
  <si>
    <t>sektor</t>
  </si>
  <si>
    <t>nośnik/paliwo</t>
  </si>
  <si>
    <t>FORMULARZE UMOŻLIWIAJĄCE AUTOMATYCZNE PRZELICZENIE WSKAŹNIKÓW I MONITORING REALIZACJI PLANU DZIAŁAŃ</t>
  </si>
  <si>
    <t>WYPEŁNIA SIĘ POLA ZAZNACZONE KOLOREM POMARAŃCZOWYM ZGODNIE Z INSTRUKCJĄ WSKAZANĄ W KOMENTARZU DLA DANEGO POLA/KOMÓRKI</t>
  </si>
  <si>
    <t>PONIŻSZE WARTOŚCI KOBIZE WPISUJE SIĘ KAŻDORAZOWO Z ROKU NA ROK ZGODNIE Z INSTRUKCJĄ DLA ROKU 2021</t>
  </si>
  <si>
    <t>Rok 2013:</t>
  </si>
  <si>
    <t>Oświetlenie uliczne</t>
  </si>
  <si>
    <t>Oświetlenie</t>
  </si>
  <si>
    <t>Oświetlenie uliczna</t>
  </si>
  <si>
    <t>wg WPF</t>
  </si>
  <si>
    <t>Rok 2020 kontrolny:</t>
  </si>
  <si>
    <t>elektr</t>
  </si>
  <si>
    <t>ogrzewanie</t>
  </si>
  <si>
    <t>transport</t>
  </si>
  <si>
    <t>GJ</t>
  </si>
  <si>
    <t>MgCO2</t>
  </si>
  <si>
    <t>70m3 oljeu dla JST</t>
  </si>
  <si>
    <t>556 700 kWh</t>
  </si>
  <si>
    <t>1 MWh=3,6 GJ</t>
  </si>
  <si>
    <t>Edukacja mieszkańców - Wytworzenie proekologicznych nawyków</t>
  </si>
  <si>
    <t>Działania nieinwestycyjnie związane z realizacją zasady zielonych zamówień publicznych, tj. wskazanie aspektu oszczędności energii i redukcji emisji CO2 przy określaniu SIWZ i Programów Funkcjonalno- użytkowych, usprawnienia dla instalacji OZE ujęte w Planie Zagospodarowania Przestrzennego oraz kampanii informacyjnych i ekologicznych dla społeczności lokalnych i młodzieży szkolnej</t>
  </si>
  <si>
    <t>Montaż OZE na budynkach publicznych</t>
  </si>
  <si>
    <t>Termomodernizacja budynków publicznych</t>
  </si>
  <si>
    <t>Dla roku kontrolnego przyjęto wskaźniki jak dla roku bazowego zgodnie z Wytycznymi SEAP i Wytycznymi WFOŚiGW w Krakowie.</t>
  </si>
  <si>
    <t>GAZ</t>
  </si>
  <si>
    <t>WĘGIEL</t>
  </si>
  <si>
    <t>OLEJ</t>
  </si>
  <si>
    <t>DREWNO</t>
  </si>
  <si>
    <t>Usługi, handel</t>
  </si>
  <si>
    <t>POWIERZCHNIA UŻYTKOWA MIESZKALNA</t>
  </si>
  <si>
    <t>LICZBA LUDNOŚCI</t>
  </si>
  <si>
    <t>PODMIOTY GOSPODARCZE</t>
  </si>
  <si>
    <t>Nazwa zadania zrezlizowanego lub w trakcie realizacji do roku 2020</t>
  </si>
  <si>
    <t>w trakcie realizacji</t>
  </si>
  <si>
    <t>Modernizacja oświetlenia ulicznego</t>
  </si>
  <si>
    <t>Obiekty usług, handlu</t>
  </si>
  <si>
    <t>SUMA:</t>
  </si>
  <si>
    <t>Zgodnie z POP, planuje się montaż instalacji fotowoltaicznych na obiektach publicznych, adekwatnie do ich zapotrzebowania na energię elektryczną. Pozwoli to granicznyć zużycie energii elektrycznej o blisko 100% oraz zredukować emisję CO2 w zakresie energii elektrycznej o blisko 100%. Sposób/źródło pozyskania: audyt ex post, protokół odbioru prac</t>
  </si>
  <si>
    <r>
      <t>Wskaźnik emisji CO</t>
    </r>
    <r>
      <rPr>
        <b/>
        <vertAlign val="subscript"/>
        <sz val="10"/>
        <color theme="1"/>
        <rFont val="Calibri"/>
        <family val="2"/>
        <charset val="238"/>
        <scheme val="minor"/>
      </rPr>
      <t>2</t>
    </r>
  </si>
  <si>
    <t>kWh/l</t>
  </si>
  <si>
    <r>
      <t>kWh/m</t>
    </r>
    <r>
      <rPr>
        <vertAlign val="superscript"/>
        <sz val="10"/>
        <color theme="1"/>
        <rFont val="Calibri"/>
        <family val="2"/>
        <charset val="238"/>
        <scheme val="minor"/>
      </rPr>
      <t>3</t>
    </r>
  </si>
  <si>
    <t>Efekt ekologiczny redukcji emisji [MgCO2]</t>
  </si>
  <si>
    <t xml:space="preserve">STATUS i stopień realizacji </t>
  </si>
  <si>
    <r>
      <t xml:space="preserve"> Emisja CO</t>
    </r>
    <r>
      <rPr>
        <b/>
        <vertAlign val="subscript"/>
        <sz val="10"/>
        <color theme="1"/>
        <rFont val="Calibri"/>
        <family val="2"/>
        <charset val="238"/>
        <scheme val="minor"/>
      </rPr>
      <t>2</t>
    </r>
  </si>
  <si>
    <t xml:space="preserve">Funkcjonowanie punktu konsultacyjno-informacyjnego w ramach Programu "Czyste Powietrze" </t>
  </si>
  <si>
    <t>Bilans energetyczny wraz z prognozą:</t>
  </si>
  <si>
    <t>TYTUŁ ZADANIA REALIZOWANEGO w latach 2022-2030</t>
  </si>
  <si>
    <t>Planuje się modernizację, co przyczyni się do wyeliminowania spalin w korkach i na postojach o min. 5%. Sposób/źródło pozyskania: protokół odbioru prac inwestycyjnych nt ilości zmodernizowanych odcinków dróg. Sposób/źródło pozyskania: protokół odbioru prac</t>
  </si>
  <si>
    <t xml:space="preserve">„Plan gospodarki niskoemisyjnej dla gminy Ryglice na lata 2022- 2027” </t>
  </si>
  <si>
    <r>
      <t>Wskaźniki emisji opisują ile ton CO</t>
    </r>
    <r>
      <rPr>
        <vertAlign val="subscript"/>
        <sz val="10"/>
        <color theme="1"/>
        <rFont val="Calibri"/>
        <family val="2"/>
        <charset val="238"/>
        <scheme val="minor"/>
      </rPr>
      <t>2</t>
    </r>
    <r>
      <rPr>
        <sz val="10"/>
        <color theme="1"/>
        <rFont val="Calibri"/>
        <family val="2"/>
        <charset val="238"/>
        <scheme val="minor"/>
      </rPr>
      <t xml:space="preserve"> przypada na jednostkę zużycia poszczególnych nośników energii.
W obliczeniach wykorzystano standardowe wskaźniki według wytycznych IPPC, uaktualnione wytycznymi KOBIZE, które obejmują całość emisji CO</t>
    </r>
    <r>
      <rPr>
        <vertAlign val="subscript"/>
        <sz val="10"/>
        <color theme="1"/>
        <rFont val="Calibri"/>
        <family val="2"/>
        <charset val="238"/>
        <scheme val="minor"/>
      </rPr>
      <t>2</t>
    </r>
    <r>
      <rPr>
        <sz val="10"/>
        <color theme="1"/>
        <rFont val="Calibri"/>
        <family val="2"/>
        <charset val="238"/>
        <scheme val="minor"/>
      </rPr>
      <t>, wynikłej z końcowego zużycia energii na terenie Gminy Ryglice.</t>
    </r>
  </si>
  <si>
    <t>Źródło danych: Wartości opałowe (WO) i wskaźniki emisji CO2 (WE) w roku 2011 do raportowania w ramach Wspólnotowego Systemu Handlu Uprawnieniami do Emisji za rok 2014 - KOBIZE, misyjności dwutlenku węgla przy produkcji energii elektrycznej do wyznaczania poziomu bazowego dla projektów JI realizowanych w Polsce” - KOBIZE</t>
  </si>
  <si>
    <t>OZE, w tym biomasa</t>
  </si>
  <si>
    <t>OGÓŁEM</t>
  </si>
  <si>
    <t>NA TERENIE MIASTA</t>
  </si>
  <si>
    <t>POZA OBRĘBEM MIASTA</t>
  </si>
  <si>
    <t>LICZBA MIESZKAŃ [SZT.]</t>
  </si>
  <si>
    <r>
      <t>POWIERZCHNIA MIESZKAŃ [M</t>
    </r>
    <r>
      <rPr>
        <b/>
        <vertAlign val="superscript"/>
        <sz val="9"/>
        <color theme="1"/>
        <rFont val="Calibri"/>
        <family val="2"/>
        <charset val="238"/>
        <scheme val="minor"/>
      </rPr>
      <t>2</t>
    </r>
    <r>
      <rPr>
        <b/>
        <sz val="9"/>
        <color theme="1"/>
        <rFont val="Calibri"/>
        <family val="2"/>
        <charset val="238"/>
        <scheme val="minor"/>
      </rPr>
      <t>]</t>
    </r>
  </si>
  <si>
    <t>BUDYNKI MIESZKALNE W GMINIE [SZT.]</t>
  </si>
  <si>
    <t>Rok 2014 bazowy:</t>
  </si>
  <si>
    <t>OZE,  w tym biomasa</t>
  </si>
  <si>
    <t>1.1 Zmniejszenie o 1,3% - 31 MWh zapotrzebowania na energię finalną w sektorze komunalnym do 2020 roku</t>
  </si>
  <si>
    <t>1.3 Zmniejszenie o 0,8% - 720 MWh zapotrzebowania na energię finalną w sektorze mieszkalnym i sektorze usługowym do 2020 roku</t>
  </si>
  <si>
    <t>1. Zmniejszenie o 0,7% - 751 MWh zapotrzebowania na energię finalną do 2020 roku:</t>
  </si>
  <si>
    <t>2. Zwiększenie 0,9% - 476 MWh udziału energii pochodzącej ze źródeł odnawialnych do 2020 roku:</t>
  </si>
  <si>
    <t>2.1 Zwiększenie o 23,1% - 3 MWh udziału energii pochodzącej ze źródeł odnawialnych w sektorze komunalnym do 2020 roku</t>
  </si>
  <si>
    <t>2.2 Zwiększenie o 0,9% - 473 MWh udziału energii pochodzącej ze źródeł odnawialnych w sektorze mieszkalnym i w sektorze usługowym do 2020 roku</t>
  </si>
  <si>
    <t>3. Zmniejszenie o 2,2% emisji CO2 – 494 Mg CO2 do 2020 roku:</t>
  </si>
  <si>
    <t>3.1 Zmniejszenie o 0,8% emisji CO2 – 7 Mg CO2 w sektorze komunalnym do 2020 roku</t>
  </si>
  <si>
    <t>3.2 Zmniejszenie o 2,9% emisji CO2 – 487 Mg CO2 w sektorze mieszkalnym i sektorze usługowym do 2020 roku</t>
  </si>
  <si>
    <t>Cel strategiczny i adekwatnie cele szczegółowe:</t>
  </si>
  <si>
    <t>Termomodernizacja budynków użyteczności publicznej wraz z opracowaniem audytów energetycznych</t>
  </si>
  <si>
    <t>Montaż instalacji OZE w lub na budynkach użyteczności publicznej</t>
  </si>
  <si>
    <t>Wymiana starych pieców na paliwa stałe na kotły gazowe, biomasę bądź kotły najnowszej generacji na paliwa stałe</t>
  </si>
  <si>
    <t>2017-2019</t>
  </si>
  <si>
    <t>BUDYNKI PUBLICZNE:</t>
  </si>
  <si>
    <t>Poprawa efektywności energetycznej poprzez wykorzystanie odnawialnych źródeł energii w budynkach mieszkalnych i budynkach usługowych</t>
  </si>
  <si>
    <t>TRANSPORT:</t>
  </si>
  <si>
    <t>Budowa sieci szlaków/ścieżek rowerowych - projekt</t>
  </si>
  <si>
    <t>Wdrożenie funkcjonalnego systemu zielonych zamówień publicznych</t>
  </si>
  <si>
    <t>2017-2021</t>
  </si>
  <si>
    <t>Organizacja akcji społecznych związanych z ograniczeniem emisji, efektywnością energetyczną oraz wykorzystaniem odnawialnych źródeł energii</t>
  </si>
  <si>
    <t>2016-2021</t>
  </si>
  <si>
    <t>Aktualizacja Planu gospodarki niskoemisyjnej, opracowanie raportów</t>
  </si>
  <si>
    <t>Aktualizacja założeń do planu zaopatrzenia w ciepło, energię elektryczną i paliwa gazowe</t>
  </si>
  <si>
    <t>BUDYNKI MIESZKALNE I USŁUGOWE:</t>
  </si>
  <si>
    <t>Przyjęcie kierunków działań uwzględnionych w Planie gospodarki niskoemisyjnej w zapisach prawa lokalnego</t>
  </si>
  <si>
    <t>Utworzenie stanowiska Eko-Doradcy</t>
  </si>
  <si>
    <t>Produkcja energii z OZE [MWh/rok]</t>
  </si>
  <si>
    <t>Roczna oszczędność energii [MWh/rok]</t>
  </si>
  <si>
    <t>Redukcja emisji CO2 w Gminie Ryglice poprzez wymianę źródeł ciepła w gospodarstwach domowych na kotły gazowe – II etap</t>
  </si>
  <si>
    <t>OPIS</t>
  </si>
  <si>
    <t>Przedmiotem projektu jest wymiana starych kotłów węglowych na nowoczesne kotły na gaz, wraz z wykonaniem wewnętrznych instalacji w budynku niezbędnych do prawidłowego funkcjonowania nowego systemu ogrzewania. W ramach projektu zostaną wykonane instalacje w źródła ciepła zasilane gazem.Łącznie w ramach projektu zostanie wymienionych 100 kotłówW wyniku realizacji projektu nastąpi obniżenie stężeń pyłu zawieszonegoPM10 z 4,72967 na 0,002112 redukcja 99,96 PM2,5 z 1,99144 na 0,002112 redukcja 99,89CO2 z 1294,436 na 549,12 redukcja 57,58Zaplanowano działania podnoszące świadomość ekologiczną przygotowanie materiałów promocyjnoinformacyjnych 2500 ulotek przeprowadzenie akcji informacyjnej 1 akcję w ciągu roku przygotowywanie plakatów 100 szt. prowadzenie podczas imprez gminnych punktu informacyjnego bieżące prowadzenie działań podnoszących świadomość ekologiczną.Główne kategorie:1.Koszt wymiany pieca grzewczego2.Koszt wykonania instalacji grzewczej3.Koszt działań informacyjnopromocyjnych4.Koszty monitorujące i sprawdzające realizację zadań.Realizacja maj 2019 grudzień 2020.Grupa docelowa:Mieszkańcy całego terenu Gminy Ryglice, posiadający stare nieefektywne kotły grzewcze.Działania są zgodne z Programie ochrony powietrza dla województwa małopolskiego POP.Realizacja projektu jest realizowana na obszarze, dla którego w programie ochrony powietrza dla województwa małopolskiego Małopolska wskazano podjęcie działań naprawczych polegających na likwidacji starych niskosprawnych urządzeń grzewczychNa terenie operacji zlokalizowane są tereny, które są zaliczone do Obszarów Chronionych</t>
  </si>
  <si>
    <t>Redukcja emisji CO2 w Gminie Ryglice poprzez wymianę źródeł ciepła w gospodarstwach domowych (paliwa gazowe)</t>
  </si>
  <si>
    <t>Przedmiotem projektu jest wymiana starych kotłów węglowych na urządzenia grzewcze na gaz wraz z wykonaniem wewnętrznych instalacji w budynku niezbędnych do prawidłowego funkcjonowania nowego systemu ogrzewania. W ramach projektu zostaną wykonane instalacje w źródła ciepła wykorzystujące gaz lub biomasę. W wyniku realizacji projektu poprzez wymianę kotłów ulegną nastąpi obniżenie stężeń pyłu zawieszonego PM10 z 2,192847 na 0,000663163 redukcja o 99,97 PM2,5 z 0,923304 na 0,000663263 redukcja 99,93 CO2 z 600,1476 na 172,422432 redukcja 71,27 Realizacja projektu obejmuje wymianę łącznie 51 kotłów na terenie całej Gminy Ryglice.Wykonanie 51 instalacji wewnętrznych związanych z wymienianymi źródłami ogrzewaniaProwadzenie działań podnoszących świadomość ekologicznąoprzygotowanie materiałów promocyjnoinformacyjnych przygotowanie 2 pakietówoprzeprowadzenie akcji informacyjnej 1 akcję w ciągu rokuoprzygotowywanie plakatów i ogłoszeń 2 razy w rokuoprzygotowanie materiałów promocyjnoinformacyjnych;oprzeprowadzenie akcji informacyjnej;oprzygotowywanie plakatów i ogłoszeń;oprowadzenie podczas imprez gminnych punktu informacyjnegooOrganizacja konkursu wśród młodzieży szkolnej 1 sztukaDane związane z ilością kotłów do wymiany oparto na danych ankietowych zebranych od mieszkańców z terenu Gminy Ryglice.Główne kategorie kosztów1.Koszt wymiany kotła grzewczego2.Koszt wykonania instalacji grzewczej 3.Koszt działań informacyjnopromocyjnych które wpłyną na rozpowszechnienie wiedzy o programie 4.Koszty monitorujące i sprawdzające realizację poszczególnych zadań.Grupa docelowa: Mieszkańcy całego terenu Gminy Ryglice.Działania są zgodne z Programie ochrony powietrza dla województwa małopolskiego POP.Na terenie operacji zlokalizowane są tereny, które są zaliczone do Obszarów Chronionego Krajobrazu jak również tereny Natura 2000</t>
  </si>
  <si>
    <t>Redukcja emisji CO2 w Gminie Ryglice poprzez wymianę źródeł ciepła w gospodarstwach domowych (paliwa stałe)</t>
  </si>
  <si>
    <t>Przedmiotem projektu jest wymiana starych kotłów, pieców, urządzeń grzewczych na paliwa stałe wraz z wykonaniem wewnętrznych instalacji w budynku niezbędnych do prawidłowego funkcjonowania nowego systemu ogrzewania. W ramach projektu zostaną wykonane instalacje w źródła ciepła wykorzystujące paliwa stałe. W wyniku realizacji projektu poprzez wymianę pieców ulegną nastąpi obniżenie stężeń pyłu zawieszonego PM10 z 3,00979 na 0,110887 redukcja o 96,32 PM2,5 z 1,26728 na 0,10534 redukcja 91,69 CO2 z 823,732 na 510,0802 redukcja 38,08 Realizacja projektu obejmuje wymianę łącznie 70 pieców na terenie całej Gminy Ryglice.Wykonanie 70 instalacji wewnętrznych związanych z wymienianymi źródłami ogrzewaniaProwadzenie działań podnoszących świadomość ekologicznąoprzygotowanie materiałów promocyjnoinformacyjnych przygotowanie 2 pakietówoprzeprowadzenie akcji informacyjnej 1 akcję w ciągu rokuoprzygotowywanie plakatów i ogłoszeń 2 razy w rokuoprzygotowanie materiałów promocyjnoinformacyjnych;oprzeprowadzenie akcji informacyjnej;oprzygotowywanie plakatów i ogłoszeń;oprowadzenie podczas imprez gminnych punktu informacyjnegooOrganizacja konkursu wśród młodzieży szkolnej 1 sztukaDane związane z ilością pieców do wymiany oparto na danych ankietowych zebranych od mieszkańców z terenu całej Gminy Ryglice.Główne kategorie kosztówDziałania podejmowane w projekcieinwestycji:1.Koszt wymiany pieca grzewczego2.Koszt wykonania instalacji grzewczej 3.Koszt działań informacyjnopromocyjnych które wpłyną na rozpowszechnienie wiedzy o programie 4.Koszty monitorujące i sprawdzające realizację poszczególnych zadań.Grupa docelowa: Mieszkańcy całego terenu Gminy Ryglice.Działania są zgodne z Programie ochrony powietrza dla województwa małopolskiego POP.Na terenie operacji zlokalizowane są tereny, które są zaliczone do Obszarów Chronionego Krajobrazu jak również tereny Natura 2000</t>
  </si>
  <si>
    <t>Ścieżka edukacyjna w Zalasowej</t>
  </si>
  <si>
    <t>Budowa ścieżki rowerowej wraz z odwodnieniem przy drodze powiatowej Jasło- Ryglice- Tuchów w m. Ryglice etap I</t>
  </si>
  <si>
    <t>Modernizacja budynku Szkoły Podstawowej w Joninach</t>
  </si>
  <si>
    <t>Ekopartnerzy na rzecz Słonecznej Energii Małopolski</t>
  </si>
  <si>
    <t>Dotacje na rzecz usuwania azbestu</t>
  </si>
  <si>
    <t>Budowa PSZOK</t>
  </si>
  <si>
    <t>Edukacja ekologiczna dla rolników</t>
  </si>
  <si>
    <t>Akcej ekologiczne w ramach wymiany źródeł ciepła, akcje Sprzątania Świata</t>
  </si>
  <si>
    <t>Budowa ścieżki rowerowej wraz z odwodnieniem przy drodze powiatowej relacji Tuchów-Zalasowa- Lubcza- Dęborzyn</t>
  </si>
  <si>
    <t>Budowa ścieżki rowerowej przy drodze powiatowej w miejscowości Ryglice ul. Tuchowska</t>
  </si>
  <si>
    <t xml:space="preserve">Modernizacja przestrzeni publicznej w miejscowości Kowalowa poprzez budowę parkingu wraz z oświetleniem </t>
  </si>
  <si>
    <t>Montaż systemu klimatyzacji w budynku Urzędu Miejskiego w Ryglicach</t>
  </si>
  <si>
    <t>Termomodernizacja OSP Lubcza z wymianą źródła ciepła</t>
  </si>
  <si>
    <t>Wymiana źródła ciepła w budynku Ośrodka Zdrowia w Zalasowej</t>
  </si>
  <si>
    <t>Wymiana źródła ciepła w budynku Szkoły Podstawowej w Woli Lubeckiej</t>
  </si>
  <si>
    <t>Kapitalny remont mieszkań po dawnym budynku zakonnym w Lubczy</t>
  </si>
  <si>
    <t>Zadania realizowane przez prywatnych właścicieli posejsi w ramach projektu CZYSTE POWIETRZE i MÓJ PRĄD</t>
  </si>
  <si>
    <t>Bieżące utrzymanie naiwerchni dróg i chodników</t>
  </si>
  <si>
    <t>Wg danych pochodzących z Małopolskiej bazy inwentaryzacji źródła ciepła na dzień 31.12.2020 r.:</t>
  </si>
  <si>
    <t>LICZBA ZINWENATRYZOWANYCH ADRESÓW:</t>
  </si>
  <si>
    <t>W TYM:</t>
  </si>
  <si>
    <t>LICZBA LOKALI MIESZKALNYCH:</t>
  </si>
  <si>
    <t>LICZBA LOKALI PUBLICZNYCH:</t>
  </si>
  <si>
    <t>LICZBA LOKALI USŁUGOWYCH:</t>
  </si>
  <si>
    <t>LICZBA PUSTOSTANÓW:</t>
  </si>
  <si>
    <t>WIEK BUDYNKÓW MIESZKALNYCH PODDANYCH INWENTARYZACJI:</t>
  </si>
  <si>
    <t>&lt;1970</t>
  </si>
  <si>
    <t>1971-1980</t>
  </si>
  <si>
    <t>1981-1990</t>
  </si>
  <si>
    <t>1991-2000</t>
  </si>
  <si>
    <t>2001-2010</t>
  </si>
  <si>
    <t>&gt;2010</t>
  </si>
  <si>
    <t>BRAK DANYCH</t>
  </si>
  <si>
    <t>POWIERZCHNIA OGRZEWANIA POW. MIESZKALNEJ:</t>
  </si>
  <si>
    <t>M2</t>
  </si>
  <si>
    <t>NA PALIWO STAŁE:</t>
  </si>
  <si>
    <t>OGRZEWANIE OLEJOWE:</t>
  </si>
  <si>
    <t>OGRZEWANIE ELEKTRYCZNE:</t>
  </si>
  <si>
    <t>MSC:</t>
  </si>
  <si>
    <t>OZE:</t>
  </si>
  <si>
    <t>BRAK OGRZEWANIA:</t>
  </si>
  <si>
    <t>INNE:</t>
  </si>
  <si>
    <t>OGRZEWANIE GAZOWE:</t>
  </si>
  <si>
    <t>POSIADANIE INSTALACJI OZE:</t>
  </si>
  <si>
    <t>KOLEKOTRY SŁONECZNE:</t>
  </si>
  <si>
    <t>FOTOWOLTAIKA:</t>
  </si>
  <si>
    <t>POMPA CIEPŁA:</t>
  </si>
  <si>
    <t>WYKONANE TERMOMODERNIZACJE:</t>
  </si>
  <si>
    <t>OCIEPLENIE ŚCIAN:</t>
  </si>
  <si>
    <t>OCIEPLENIE STROPU:</t>
  </si>
  <si>
    <t>WYMIANA OKIEN:</t>
  </si>
  <si>
    <t>WYMIANA DRZWI:</t>
  </si>
  <si>
    <t>OCIEPLENIE DACHU:</t>
  </si>
  <si>
    <t>ŹRÓDŁA OGRZEWANIA CO ZE WZGLĘDU NA TECHNOLOGIĘ:</t>
  </si>
  <si>
    <t>ZUŻYCIE OPAŁU:</t>
  </si>
  <si>
    <t>WĘGIEL KAMIENNY</t>
  </si>
  <si>
    <t>BIOMASA/DREWNO</t>
  </si>
  <si>
    <t>EKOGROSZEK</t>
  </si>
  <si>
    <t>M3</t>
  </si>
  <si>
    <t>MG</t>
  </si>
  <si>
    <t>INNE PALIWA STAŁE (PELLLET)</t>
  </si>
  <si>
    <t>TERMOMODERNIZACJE PLANUJE:</t>
  </si>
  <si>
    <t>BUDYNKÓW</t>
  </si>
  <si>
    <t>WYMIANĘ ŹRÓDEŁ CIEPŁA PLANUJE:</t>
  </si>
  <si>
    <t>WSKAZANE ŹRÓDŁO OGRZEWANIA CO,W TYM:</t>
  </si>
  <si>
    <t>SZT.</t>
  </si>
  <si>
    <t>INDYWIDUALNE PIECE CO:</t>
  </si>
  <si>
    <t>PIEC KAFLOWY:</t>
  </si>
  <si>
    <t>KOZA ( NA DREWNO, WĘGIEL):</t>
  </si>
  <si>
    <t>KOMINEK:</t>
  </si>
  <si>
    <t>TRZON KUCHENNY:</t>
  </si>
  <si>
    <t>MWh</t>
  </si>
  <si>
    <t>tj.</t>
  </si>
  <si>
    <t>zrealizowano</t>
  </si>
  <si>
    <t>W gminie Ryglice  powstanie: 128 szt. instalacji solarnych, 76 szt. instalacji fotowoltaicznych. Przyjęto do obliczeń, iż kolektory słoneczne zaspokoją min. 40% zapotzrebowania na CWU oraz min. 900 kWh produkcji z 1 kWp mocy zainstalowanej z PV.</t>
  </si>
  <si>
    <t xml:space="preserve">Wg danych NFOŚiGW- zmontowano do 2020 roku łącznie 706,415 kWp mocy z PV. Przyjęto min. 900 kWh produkcji z 1 kWp. </t>
  </si>
  <si>
    <t>Podusmowano łącznie działania zrealizowane w zasobach Gminy Ryglicze, w odniesieniu do udziału taboru gminnego w sektorze transportu ogółem. Założono min. 5% spadek zużycia enenrgii w sektorze transportu i emisji.</t>
  </si>
  <si>
    <t xml:space="preserve">działania sukcesywnie podejmowane zgodnie z Raportem o stanie Gminy Ryglice. </t>
  </si>
  <si>
    <t>Przyjęto, iż działania termomodernizacyjne i wymiana źródła ciepła przyczyniają się do ograniczenia zużycia energii końcowej cieplnej o min. 30% i emisję CO2 o min. 25%. Obliczenia poparto danymi uzyskanymi przez gestora PSG oraz PGNiG, dane platformy zakupowej w Grupie Zakupowej Gazu Ziemnego z roku 2021 oraz wykaz inwestycji zrealizowanych do 2020 roku zgodnei z WPF.</t>
  </si>
  <si>
    <t>nie zrealizowano</t>
  </si>
  <si>
    <t>działania przeniesione na lata następne</t>
  </si>
  <si>
    <t>Przyczyny niezrealizowania- jeśli dotyczy oraz działania zaradcze</t>
  </si>
  <si>
    <t>Dokument aktualizowany w roku 2022</t>
  </si>
  <si>
    <t>&lt;- cel rzeczowy zrealizowany, stopień osiągnięcia celu do 2020 r.:</t>
  </si>
  <si>
    <t>&lt;- cel rzeczowy nie został zrealizowany, stopień osiągnięcia celu do 2020 r.:</t>
  </si>
  <si>
    <t>Bilans eneregtyczny Gminy Ryglice:</t>
  </si>
  <si>
    <t>2014 rok:</t>
  </si>
  <si>
    <t>GMINA RYGLICE</t>
  </si>
  <si>
    <t>2022-2027</t>
  </si>
  <si>
    <t>Wymiana źródeł ciepła w budynkach mieszkalnych na terenie Gminy Ryglice</t>
  </si>
  <si>
    <t>Termomodernizacja budynków mieszkalnych na terenie Gminy Ryglice</t>
  </si>
  <si>
    <t>Montaż instalacji do odnawialnych źródeł energii dla mieszkańców Gminy Ryglice</t>
  </si>
  <si>
    <t>Inwestorzy prywatni/ Gmina Ryglice</t>
  </si>
  <si>
    <t>Inwestorzy prywatni/Gmina Ryglice</t>
  </si>
  <si>
    <t>Montaż instalacji do odnawialnych źródeł energii dla przedsiębiorców Gminy Ryglice</t>
  </si>
  <si>
    <t>KLASA KOTŁÓW:</t>
  </si>
  <si>
    <t>POZAKLASOWE:</t>
  </si>
  <si>
    <t>3 KLASY:</t>
  </si>
  <si>
    <t>4 KLASY:</t>
  </si>
  <si>
    <t>5 KLASY I ECODESIGN:</t>
  </si>
  <si>
    <t>2027- wariant bazowy BaU bez podjęcia działań Planu</t>
  </si>
  <si>
    <t>2027- wariant docelowy- cel redukcji Gminy</t>
  </si>
  <si>
    <r>
      <t>Planuje się, iż w poszukiwaniu oszczędności na ogrzewaniu swoich gospodarstw domowych blisko 17% budynków skorzysta z programów dotacji na docieplenie np. w ramach CZYSTE POWIETRZE. Przyczyni się to redukcji zużycia energii o blisko 25% oraz redukcji emisji CO</t>
    </r>
    <r>
      <rPr>
        <vertAlign val="subscript"/>
        <sz val="10"/>
        <color theme="1"/>
        <rFont val="Calibri"/>
        <family val="2"/>
        <charset val="238"/>
        <scheme val="minor"/>
      </rPr>
      <t>2</t>
    </r>
    <r>
      <rPr>
        <sz val="10"/>
        <color theme="1"/>
        <rFont val="Calibri"/>
        <family val="2"/>
        <charset val="238"/>
        <scheme val="minor"/>
      </rPr>
      <t xml:space="preserve"> o blisko 30%. Sposób/źródło pozyskania: inwenatryzacja CEEB, dane NFOŚiGW w ramach ilości podpisanych umów o udzielenie dotacji</t>
    </r>
  </si>
  <si>
    <t>2014 BEI</t>
  </si>
  <si>
    <t>Bilans energtyczny z uwzględnieniem udziału energii pochodzącej z OZE do roku 2027:</t>
  </si>
  <si>
    <t>Zużycie energii w Gminie Ryglice:</t>
  </si>
  <si>
    <t>średnia wielkość mieszkania  w 2020 r.:</t>
  </si>
  <si>
    <t>Modernizacja sieci drogowej w zasobach Gminy Ryglice zgodnie z zasadami zrównoważonej mobilności miejskiej</t>
  </si>
  <si>
    <t>Modernizacja opraw oświetleniowych na LED-owe, które pozwolą na osiągnięcie oszczędności w zużyciu energii i emisji na poziomie min. 10%. Sposób/źródło pozyskania: protokół odbioru prac lub inwenatryzacja oświeltenia.</t>
  </si>
  <si>
    <t>Planuje się, iż w poszukiwaniu oszczędności na ogrzewaniu swoich gospodarstw domowych blisko 20% budynków skorzysta z programów dotacji na OZE np. w ramach CZYSTE POWIETRZE. Przyczyni się to redukcji zużycia energii elektrycznej o blisko 25% oraz redukcji emisji CO2 o blisko 30%. Sposób/źródło pozyskania: inwenatryzacja CEEB, dane NFOŚiGW w ramach ilości podpisanych umów o udzielenie dotacji</t>
  </si>
  <si>
    <t>Wzrost udziału OZE w roku 2027 w stosunku do roku bazowego-wariant docelowy:</t>
  </si>
  <si>
    <t>Planuje się, iż blisko 35% budynków mieszkalnych ogrzewajacych swoje budynki węglem kamiennym, pelletem, biomasą zmieni sposób ogrzewania swoich gospodarstw domowych, w tym korzystajac z dotacji CZYSTE POWIETRZE, MOJE CIEPŁO, co wynika z danych Małopolskiej Bazy oraz CEEB w zakresie klasy kotła.  Przyczyni się to redukcji zużycia energii o blisko 25% oraz redukcji emisji CO2 o blisko 30%. Sposób/źródło pozyskania: inwenatryzacja CEEB, dane NFOŚiGW w ramach ilości podpisanych umów o udzielenie dotacji</t>
  </si>
  <si>
    <t>Planuje się, iż w poszukiwaniu oszczędności na ogrzewaniu swoich gospodarstw domowych blisko 10% przedsiębiorców skorzysta z programów dotacji na OZE. Przyczyni się to redukcji zużycia energii końcowej o blisko 25% oraz redukcji emisji CO2 o blisko 30%. Sposób/źródło pozyskania: inwenatryzacja CEEB, dane NFOŚiGW w ramach ilości podpisanych umów o udzielenie dotacji</t>
  </si>
  <si>
    <t>Lp.</t>
  </si>
  <si>
    <t xml:space="preserve">Gaz </t>
  </si>
  <si>
    <t>Emisja [kg/rok]</t>
  </si>
  <si>
    <r>
      <t>Emisja [kg/(km</t>
    </r>
    <r>
      <rPr>
        <b/>
        <vertAlign val="superscript"/>
        <sz val="10"/>
        <color theme="1"/>
        <rFont val="Calibri Light"/>
        <family val="2"/>
        <charset val="238"/>
      </rPr>
      <t>2</t>
    </r>
    <r>
      <rPr>
        <b/>
        <sz val="10"/>
        <color theme="1"/>
        <rFont val="Calibri Light"/>
        <family val="2"/>
        <charset val="238"/>
      </rPr>
      <t>·rok)]</t>
    </r>
  </si>
  <si>
    <t>Emisja na terenie Gminy Ryglice [kg/rok]</t>
  </si>
  <si>
    <r>
      <t>SO</t>
    </r>
    <r>
      <rPr>
        <b/>
        <vertAlign val="subscript"/>
        <sz val="10"/>
        <color theme="1"/>
        <rFont val="Calibri Light"/>
        <family val="2"/>
        <charset val="238"/>
      </rPr>
      <t>x</t>
    </r>
    <r>
      <rPr>
        <b/>
        <sz val="10"/>
        <color theme="1"/>
        <rFont val="Calibri Light"/>
        <family val="2"/>
        <charset val="238"/>
      </rPr>
      <t xml:space="preserve"> </t>
    </r>
  </si>
  <si>
    <r>
      <t>NO</t>
    </r>
    <r>
      <rPr>
        <b/>
        <vertAlign val="subscript"/>
        <sz val="10"/>
        <color theme="1"/>
        <rFont val="Calibri Light"/>
        <family val="2"/>
        <charset val="238"/>
      </rPr>
      <t>x</t>
    </r>
  </si>
  <si>
    <t>PM10</t>
  </si>
  <si>
    <t>PM2.5</t>
  </si>
  <si>
    <t>benzo(a)piren</t>
  </si>
  <si>
    <t>Emisja na terenie Gminy Ryglice [Mg/rok] w roku 2021</t>
  </si>
  <si>
    <t>Redukcja w wyniku realizacji Planu Działań [Mg/rok] w 2027 roku</t>
  </si>
  <si>
    <t>Redukcja w wyniku realizacji Planu Działań w stosunku do roku 2021 [%]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</si>
</sst>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#,##0.00\ &quot;zł&quot;;[Red]\-#,##0.00\ &quot;zł&quot;"/>
    <numFmt numFmtId="43" formatCode="_-* #,##0.00\ _z_ł_-;\-* #,##0.00\ _z_ł_-;_-* &quot;-&quot;??\ _z_ł_-;_-@_-"/>
    <numFmt numFmtId="164" formatCode="0.000"/>
    <numFmt numFmtId="165" formatCode="0.0%"/>
    <numFmt numFmtId="166" formatCode="#,##0.00\ &quot;zł&quot;"/>
    <numFmt numFmtId="167" formatCode="0.00000"/>
    <numFmt numFmtId="168" formatCode="_(&quot;$&quot;* #,##0.00_);_(&quot;$&quot;* \(#,##0.00\);_(&quot;$&quot;* &quot;-&quot;??_);_(@_)"/>
  </numFmts>
  <fonts count="6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indexed="8"/>
      <name val="Calibri"/>
      <family val="2"/>
    </font>
    <font>
      <sz val="11"/>
      <color theme="1"/>
      <name val="Times New Roman"/>
      <family val="1"/>
      <charset val="238"/>
    </font>
    <font>
      <b/>
      <sz val="16"/>
      <color theme="0"/>
      <name val="Times New Roman"/>
      <family val="1"/>
      <charset val="238"/>
    </font>
    <font>
      <b/>
      <sz val="20"/>
      <color theme="0"/>
      <name val="Times New Roman"/>
      <family val="1"/>
      <charset val="238"/>
    </font>
    <font>
      <sz val="12"/>
      <color rgb="FF000000"/>
      <name val="Calibri"/>
      <family val="2"/>
      <charset val="238"/>
      <scheme val="minor"/>
    </font>
    <font>
      <sz val="11"/>
      <color theme="0"/>
      <name val="Times New Roman"/>
      <family val="1"/>
      <charset val="238"/>
    </font>
    <font>
      <b/>
      <sz val="16"/>
      <color theme="1" tint="0.249977111117893"/>
      <name val="Times New Roman"/>
      <family val="1"/>
      <charset val="238"/>
    </font>
    <font>
      <sz val="16"/>
      <color theme="1"/>
      <name val="Times New Roman"/>
      <family val="1"/>
      <charset val="238"/>
    </font>
    <font>
      <b/>
      <sz val="12"/>
      <color theme="1" tint="0.249977111117893"/>
      <name val="Times New Roman"/>
      <family val="1"/>
      <charset val="238"/>
    </font>
    <font>
      <b/>
      <sz val="11"/>
      <color theme="1" tint="0.249977111117893"/>
      <name val="Times New Roman"/>
      <family val="1"/>
      <charset val="238"/>
    </font>
    <font>
      <sz val="8"/>
      <color theme="1" tint="0.34998626667073579"/>
      <name val="Times New Roman"/>
      <family val="1"/>
      <charset val="238"/>
    </font>
    <font>
      <sz val="1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vertAlign val="subscript"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sz val="9"/>
      <name val="Calibri"/>
      <family val="2"/>
      <charset val="238"/>
      <scheme val="minor"/>
    </font>
    <font>
      <sz val="11"/>
      <color theme="0" tint="-0.499984740745262"/>
      <name val="Calibri"/>
      <family val="2"/>
      <scheme val="minor"/>
    </font>
    <font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0"/>
      <color rgb="FFFF000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20"/>
      <color theme="1"/>
      <name val="Calibri"/>
      <family val="2"/>
      <scheme val="minor"/>
    </font>
    <font>
      <sz val="9"/>
      <color rgb="FFFF000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vertAlign val="subscript"/>
      <sz val="10"/>
      <color theme="1"/>
      <name val="Calibri"/>
      <family val="2"/>
      <charset val="238"/>
      <scheme val="minor"/>
    </font>
    <font>
      <sz val="10"/>
      <color theme="0" tint="-0.34998626667073579"/>
      <name val="Calibri"/>
      <family val="2"/>
      <scheme val="minor"/>
    </font>
    <font>
      <sz val="10"/>
      <color theme="0" tint="-0.34998626667073579"/>
      <name val="Calibri"/>
      <family val="2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vertAlign val="superscript"/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vertAlign val="superscript"/>
      <sz val="9"/>
      <color theme="1"/>
      <name val="Calibri"/>
      <family val="2"/>
      <charset val="238"/>
      <scheme val="minor"/>
    </font>
    <font>
      <b/>
      <sz val="11"/>
      <color theme="0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2"/>
      <color theme="1"/>
      <name val="Calibri Light"/>
      <family val="2"/>
      <charset val="238"/>
    </font>
    <font>
      <sz val="12"/>
      <color rgb="FF212529"/>
      <name val="Calibri Light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 Light"/>
      <family val="2"/>
      <charset val="238"/>
    </font>
    <font>
      <b/>
      <vertAlign val="superscript"/>
      <sz val="10"/>
      <color theme="1"/>
      <name val="Calibri Light"/>
      <family val="2"/>
      <charset val="238"/>
    </font>
    <font>
      <b/>
      <vertAlign val="subscript"/>
      <sz val="10"/>
      <color theme="1"/>
      <name val="Calibri Light"/>
      <family val="2"/>
      <charset val="238"/>
    </font>
  </fonts>
  <fills count="2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3D3D3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2">
    <xf numFmtId="0" fontId="0" fillId="0" borderId="0"/>
    <xf numFmtId="9" fontId="10" fillId="0" borderId="0" applyFont="0" applyFill="0" applyBorder="0" applyAlignment="0" applyProtection="0"/>
    <xf numFmtId="0" fontId="12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0" fillId="0" borderId="0"/>
    <xf numFmtId="0" fontId="9" fillId="0" borderId="0"/>
    <xf numFmtId="43" fontId="9" fillId="0" borderId="0" applyFont="0" applyFill="0" applyBorder="0" applyAlignment="0" applyProtection="0"/>
    <xf numFmtId="0" fontId="12" fillId="0" borderId="0"/>
    <xf numFmtId="0" fontId="12" fillId="0" borderId="0"/>
    <xf numFmtId="0" fontId="24" fillId="0" borderId="0"/>
    <xf numFmtId="0" fontId="9" fillId="0" borderId="0"/>
    <xf numFmtId="0" fontId="8" fillId="0" borderId="0"/>
    <xf numFmtId="9" fontId="10" fillId="0" borderId="0" applyFont="0" applyFill="0" applyBorder="0" applyAlignment="0" applyProtection="0"/>
    <xf numFmtId="0" fontId="6" fillId="0" borderId="0"/>
    <xf numFmtId="0" fontId="34" fillId="4" borderId="11">
      <alignment horizontal="left" vertical="center" wrapText="1"/>
    </xf>
    <xf numFmtId="0" fontId="35" fillId="0" borderId="0"/>
    <xf numFmtId="0" fontId="5" fillId="0" borderId="0"/>
    <xf numFmtId="9" fontId="5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45" fillId="0" borderId="0"/>
    <xf numFmtId="0" fontId="55" fillId="9" borderId="53" applyNumberFormat="0" applyAlignment="0" applyProtection="0"/>
    <xf numFmtId="0" fontId="12" fillId="10" borderId="54" applyNumberFormat="0" applyFont="0" applyAlignment="0" applyProtection="0"/>
    <xf numFmtId="0" fontId="56" fillId="16" borderId="0" applyNumberFormat="0" applyBorder="0" applyAlignment="0" applyProtection="0"/>
    <xf numFmtId="0" fontId="56" fillId="17" borderId="0" applyNumberFormat="0" applyBorder="0" applyAlignment="0" applyProtection="0"/>
    <xf numFmtId="0" fontId="56" fillId="18" borderId="0" applyNumberFormat="0" applyBorder="0" applyAlignment="0" applyProtection="0"/>
    <xf numFmtId="0" fontId="56" fillId="12" borderId="0" applyNumberFormat="0" applyBorder="0" applyAlignment="0" applyProtection="0"/>
    <xf numFmtId="0" fontId="12" fillId="19" borderId="0" applyNumberFormat="0" applyBorder="0" applyAlignment="0" applyProtection="0"/>
    <xf numFmtId="0" fontId="56" fillId="14" borderId="0" applyNumberFormat="0" applyBorder="0" applyAlignment="0" applyProtection="0"/>
    <xf numFmtId="0" fontId="12" fillId="11" borderId="0" applyNumberFormat="0" applyBorder="0" applyAlignment="0" applyProtection="0"/>
    <xf numFmtId="0" fontId="12" fillId="15" borderId="0" applyNumberFormat="0" applyBorder="0" applyAlignment="0" applyProtection="0"/>
    <xf numFmtId="0" fontId="12" fillId="13" borderId="0" applyNumberFormat="0" applyBorder="0" applyAlignment="0" applyProtection="0"/>
  </cellStyleXfs>
  <cellXfs count="370">
    <xf numFmtId="0" fontId="0" fillId="0" borderId="0" xfId="0"/>
    <xf numFmtId="0" fontId="14" fillId="0" borderId="0" xfId="5" applyFont="1"/>
    <xf numFmtId="0" fontId="14" fillId="3" borderId="0" xfId="5" applyFont="1" applyFill="1"/>
    <xf numFmtId="0" fontId="16" fillId="3" borderId="0" xfId="5" applyFont="1" applyFill="1" applyAlignment="1"/>
    <xf numFmtId="0" fontId="17" fillId="0" borderId="0" xfId="5" applyFont="1"/>
    <xf numFmtId="0" fontId="18" fillId="3" borderId="0" xfId="5" applyFont="1" applyFill="1" applyAlignment="1"/>
    <xf numFmtId="0" fontId="14" fillId="0" borderId="0" xfId="5" applyFont="1" applyAlignment="1">
      <alignment horizontal="right"/>
    </xf>
    <xf numFmtId="0" fontId="9" fillId="0" borderId="0" xfId="6"/>
    <xf numFmtId="0" fontId="26" fillId="0" borderId="0" xfId="0" applyFont="1" applyAlignment="1">
      <alignment horizontal="center"/>
    </xf>
    <xf numFmtId="0" fontId="26" fillId="0" borderId="0" xfId="0" applyFont="1"/>
    <xf numFmtId="0" fontId="25" fillId="2" borderId="1" xfId="0" applyFont="1" applyFill="1" applyBorder="1"/>
    <xf numFmtId="0" fontId="26" fillId="0" borderId="0" xfId="0" applyFont="1" applyBorder="1"/>
    <xf numFmtId="164" fontId="26" fillId="0" borderId="1" xfId="0" applyNumberFormat="1" applyFont="1" applyBorder="1" applyAlignment="1">
      <alignment horizontal="center"/>
    </xf>
    <xf numFmtId="0" fontId="26" fillId="0" borderId="1" xfId="5" applyFont="1" applyBorder="1" applyAlignment="1">
      <alignment horizontal="center"/>
    </xf>
    <xf numFmtId="0" fontId="0" fillId="0" borderId="0" xfId="0" applyBorder="1"/>
    <xf numFmtId="164" fontId="0" fillId="0" borderId="0" xfId="0" applyNumberFormat="1" applyBorder="1"/>
    <xf numFmtId="164" fontId="26" fillId="0" borderId="1" xfId="5" applyNumberFormat="1" applyFont="1" applyBorder="1" applyAlignment="1">
      <alignment horizontal="center"/>
    </xf>
    <xf numFmtId="166" fontId="26" fillId="0" borderId="1" xfId="0" applyNumberFormat="1" applyFont="1" applyBorder="1" applyAlignment="1">
      <alignment horizontal="center" vertical="center" wrapText="1"/>
    </xf>
    <xf numFmtId="0" fontId="8" fillId="0" borderId="0" xfId="12"/>
    <xf numFmtId="0" fontId="28" fillId="0" borderId="0" xfId="12" applyFont="1"/>
    <xf numFmtId="0" fontId="10" fillId="0" borderId="0" xfId="5"/>
    <xf numFmtId="4" fontId="10" fillId="0" borderId="1" xfId="5" applyNumberFormat="1" applyBorder="1" applyAlignment="1">
      <alignment horizontal="center" vertical="center"/>
    </xf>
    <xf numFmtId="4" fontId="11" fillId="0" borderId="1" xfId="5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30" fillId="0" borderId="0" xfId="12" applyFont="1" applyAlignment="1">
      <alignment horizontal="center" vertical="center"/>
    </xf>
    <xf numFmtId="4" fontId="8" fillId="3" borderId="1" xfId="5" applyNumberFormat="1" applyFont="1" applyFill="1" applyBorder="1" applyAlignment="1">
      <alignment horizontal="center" vertical="center"/>
    </xf>
    <xf numFmtId="4" fontId="10" fillId="0" borderId="1" xfId="5" applyNumberFormat="1" applyBorder="1" applyAlignment="1">
      <alignment horizontal="center"/>
    </xf>
    <xf numFmtId="4" fontId="11" fillId="3" borderId="1" xfId="5" applyNumberFormat="1" applyFont="1" applyFill="1" applyBorder="1" applyAlignment="1">
      <alignment horizontal="center" vertical="center"/>
    </xf>
    <xf numFmtId="166" fontId="26" fillId="0" borderId="3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/>
    </xf>
    <xf numFmtId="4" fontId="8" fillId="3" borderId="1" xfId="5" applyNumberFormat="1" applyFont="1" applyFill="1" applyBorder="1" applyAlignment="1">
      <alignment horizontal="center"/>
    </xf>
    <xf numFmtId="2" fontId="26" fillId="0" borderId="1" xfId="0" applyNumberFormat="1" applyFont="1" applyBorder="1" applyAlignment="1">
      <alignment horizontal="center" vertical="center" wrapText="1"/>
    </xf>
    <xf numFmtId="4" fontId="11" fillId="0" borderId="1" xfId="5" applyNumberFormat="1" applyFont="1" applyBorder="1" applyAlignment="1">
      <alignment horizontal="center"/>
    </xf>
    <xf numFmtId="4" fontId="7" fillId="3" borderId="3" xfId="5" applyNumberFormat="1" applyFont="1" applyFill="1" applyBorder="1" applyAlignment="1">
      <alignment horizontal="center" vertical="center"/>
    </xf>
    <xf numFmtId="10" fontId="7" fillId="3" borderId="3" xfId="13" applyNumberFormat="1" applyFont="1" applyFill="1" applyBorder="1" applyAlignment="1">
      <alignment horizontal="center" vertical="center"/>
    </xf>
    <xf numFmtId="10" fontId="7" fillId="3" borderId="9" xfId="13" applyNumberFormat="1" applyFont="1" applyFill="1" applyBorder="1" applyAlignment="1">
      <alignment horizontal="center" vertical="center"/>
    </xf>
    <xf numFmtId="4" fontId="7" fillId="3" borderId="9" xfId="5" applyNumberFormat="1" applyFont="1" applyFill="1" applyBorder="1" applyAlignment="1">
      <alignment horizontal="center" vertical="center"/>
    </xf>
    <xf numFmtId="4" fontId="7" fillId="0" borderId="6" xfId="5" applyNumberFormat="1" applyFont="1" applyBorder="1" applyAlignment="1">
      <alignment horizontal="center"/>
    </xf>
    <xf numFmtId="0" fontId="31" fillId="0" borderId="0" xfId="5" applyFont="1" applyBorder="1"/>
    <xf numFmtId="165" fontId="31" fillId="0" borderId="0" xfId="13" applyNumberFormat="1" applyFont="1" applyBorder="1"/>
    <xf numFmtId="10" fontId="31" fillId="0" borderId="0" xfId="5" applyNumberFormat="1" applyFont="1" applyBorder="1"/>
    <xf numFmtId="0" fontId="32" fillId="2" borderId="0" xfId="5" applyFont="1" applyFill="1" applyBorder="1" applyAlignment="1">
      <alignment horizontal="center" vertical="center" wrapText="1"/>
    </xf>
    <xf numFmtId="4" fontId="0" fillId="0" borderId="6" xfId="13" applyNumberFormat="1" applyFont="1" applyBorder="1" applyAlignment="1">
      <alignment horizontal="center"/>
    </xf>
    <xf numFmtId="4" fontId="11" fillId="0" borderId="6" xfId="13" applyNumberFormat="1" applyFont="1" applyBorder="1" applyAlignment="1">
      <alignment horizontal="center"/>
    </xf>
    <xf numFmtId="2" fontId="0" fillId="0" borderId="6" xfId="13" applyNumberFormat="1" applyFont="1" applyBorder="1" applyAlignment="1">
      <alignment horizontal="center"/>
    </xf>
    <xf numFmtId="2" fontId="11" fillId="0" borderId="6" xfId="13" applyNumberFormat="1" applyFont="1" applyBorder="1" applyAlignment="1">
      <alignment horizontal="center"/>
    </xf>
    <xf numFmtId="2" fontId="31" fillId="0" borderId="0" xfId="5" applyNumberFormat="1" applyFont="1" applyBorder="1"/>
    <xf numFmtId="2" fontId="31" fillId="0" borderId="0" xfId="13" applyNumberFormat="1" applyFont="1" applyBorder="1"/>
    <xf numFmtId="164" fontId="31" fillId="0" borderId="0" xfId="13" applyNumberFormat="1" applyFont="1" applyBorder="1"/>
    <xf numFmtId="0" fontId="33" fillId="0" borderId="0" xfId="5" applyFont="1"/>
    <xf numFmtId="2" fontId="11" fillId="0" borderId="1" xfId="5" applyNumberFormat="1" applyFont="1" applyBorder="1" applyAlignment="1">
      <alignment horizontal="center"/>
    </xf>
    <xf numFmtId="0" fontId="31" fillId="0" borderId="0" xfId="5" applyFont="1"/>
    <xf numFmtId="4" fontId="0" fillId="0" borderId="0" xfId="0" applyNumberFormat="1"/>
    <xf numFmtId="0" fontId="25" fillId="0" borderId="0" xfId="0" applyFont="1"/>
    <xf numFmtId="4" fontId="26" fillId="0" borderId="0" xfId="0" applyNumberFormat="1" applyFont="1"/>
    <xf numFmtId="10" fontId="10" fillId="0" borderId="1" xfId="1" applyNumberFormat="1" applyBorder="1" applyAlignment="1">
      <alignment horizontal="center"/>
    </xf>
    <xf numFmtId="10" fontId="11" fillId="0" borderId="1" xfId="1" applyNumberFormat="1" applyFont="1" applyBorder="1" applyAlignment="1">
      <alignment horizontal="center"/>
    </xf>
    <xf numFmtId="10" fontId="7" fillId="3" borderId="3" xfId="1" applyNumberFormat="1" applyFont="1" applyFill="1" applyBorder="1" applyAlignment="1">
      <alignment horizontal="center" vertical="center"/>
    </xf>
    <xf numFmtId="2" fontId="26" fillId="0" borderId="0" xfId="0" applyNumberFormat="1" applyFont="1"/>
    <xf numFmtId="0" fontId="26" fillId="0" borderId="2" xfId="0" applyFont="1" applyBorder="1" applyAlignment="1">
      <alignment horizontal="center" vertical="center" wrapText="1"/>
    </xf>
    <xf numFmtId="2" fontId="26" fillId="0" borderId="2" xfId="0" applyNumberFormat="1" applyFont="1" applyBorder="1" applyAlignment="1">
      <alignment horizontal="center" vertical="center" wrapText="1"/>
    </xf>
    <xf numFmtId="9" fontId="0" fillId="0" borderId="0" xfId="0" applyNumberFormat="1"/>
    <xf numFmtId="0" fontId="35" fillId="0" borderId="0" xfId="16"/>
    <xf numFmtId="0" fontId="34" fillId="4" borderId="11" xfId="15" applyNumberFormat="1" applyFont="1" applyFill="1" applyBorder="1">
      <alignment horizontal="left" vertical="center" wrapText="1"/>
    </xf>
    <xf numFmtId="3" fontId="35" fillId="0" borderId="0" xfId="16" applyNumberFormat="1" applyFont="1"/>
    <xf numFmtId="1" fontId="35" fillId="0" borderId="0" xfId="16" applyNumberFormat="1"/>
    <xf numFmtId="3" fontId="0" fillId="0" borderId="0" xfId="0" applyNumberFormat="1" applyFont="1"/>
    <xf numFmtId="1" fontId="0" fillId="0" borderId="0" xfId="0" applyNumberFormat="1"/>
    <xf numFmtId="0" fontId="0" fillId="0" borderId="0" xfId="0" applyAlignment="1">
      <alignment wrapText="1"/>
    </xf>
    <xf numFmtId="0" fontId="11" fillId="2" borderId="0" xfId="0" applyFont="1" applyFill="1" applyBorder="1" applyAlignment="1">
      <alignment horizontal="center"/>
    </xf>
    <xf numFmtId="0" fontId="26" fillId="0" borderId="1" xfId="0" applyFont="1" applyBorder="1" applyAlignment="1">
      <alignment horizontal="center" vertical="center" wrapText="1"/>
    </xf>
    <xf numFmtId="167" fontId="26" fillId="0" borderId="1" xfId="0" applyNumberFormat="1" applyFont="1" applyBorder="1" applyAlignment="1">
      <alignment horizontal="center"/>
    </xf>
    <xf numFmtId="1" fontId="30" fillId="0" borderId="1" xfId="0" applyNumberFormat="1" applyFont="1" applyBorder="1" applyAlignment="1">
      <alignment horizontal="center" vertical="center" wrapText="1"/>
    </xf>
    <xf numFmtId="10" fontId="30" fillId="0" borderId="0" xfId="1" applyNumberFormat="1" applyFont="1" applyAlignment="1">
      <alignment horizontal="center" vertical="center"/>
    </xf>
    <xf numFmtId="4" fontId="0" fillId="0" borderId="1" xfId="5" applyNumberFormat="1" applyFont="1" applyBorder="1" applyAlignment="1">
      <alignment horizontal="center"/>
    </xf>
    <xf numFmtId="0" fontId="37" fillId="0" borderId="0" xfId="0" applyFont="1"/>
    <xf numFmtId="2" fontId="31" fillId="0" borderId="0" xfId="5" applyNumberFormat="1" applyFont="1" applyBorder="1" applyAlignment="1">
      <alignment horizontal="center"/>
    </xf>
    <xf numFmtId="2" fontId="32" fillId="0" borderId="0" xfId="5" applyNumberFormat="1" applyFont="1" applyBorder="1" applyAlignment="1">
      <alignment horizontal="center"/>
    </xf>
    <xf numFmtId="4" fontId="40" fillId="0" borderId="0" xfId="0" applyNumberFormat="1" applyFont="1"/>
    <xf numFmtId="3" fontId="36" fillId="0" borderId="1" xfId="0" applyNumberFormat="1" applyFont="1" applyBorder="1" applyAlignment="1">
      <alignment horizontal="center" vertical="center"/>
    </xf>
    <xf numFmtId="3" fontId="36" fillId="5" borderId="1" xfId="0" applyNumberFormat="1" applyFont="1" applyFill="1" applyBorder="1" applyAlignment="1">
      <alignment horizontal="center" vertical="center" wrapText="1"/>
    </xf>
    <xf numFmtId="0" fontId="0" fillId="0" borderId="0" xfId="5" applyFont="1"/>
    <xf numFmtId="0" fontId="25" fillId="2" borderId="9" xfId="0" applyFont="1" applyFill="1" applyBorder="1" applyAlignment="1">
      <alignment horizontal="left"/>
    </xf>
    <xf numFmtId="0" fontId="25" fillId="2" borderId="6" xfId="0" applyFont="1" applyFill="1" applyBorder="1" applyAlignment="1">
      <alignment horizontal="left"/>
    </xf>
    <xf numFmtId="0" fontId="26" fillId="0" borderId="13" xfId="0" applyFont="1" applyBorder="1"/>
    <xf numFmtId="0" fontId="25" fillId="2" borderId="15" xfId="0" applyFont="1" applyFill="1" applyBorder="1" applyAlignment="1">
      <alignment horizontal="center" vertical="center"/>
    </xf>
    <xf numFmtId="4" fontId="38" fillId="0" borderId="17" xfId="0" applyNumberFormat="1" applyFont="1" applyBorder="1" applyAlignment="1">
      <alignment horizontal="center" vertical="center"/>
    </xf>
    <xf numFmtId="4" fontId="39" fillId="0" borderId="17" xfId="0" applyNumberFormat="1" applyFont="1" applyBorder="1" applyAlignment="1">
      <alignment horizontal="center" vertical="center"/>
    </xf>
    <xf numFmtId="0" fontId="0" fillId="0" borderId="13" xfId="0" applyBorder="1"/>
    <xf numFmtId="0" fontId="25" fillId="2" borderId="20" xfId="0" applyFont="1" applyFill="1" applyBorder="1" applyAlignment="1">
      <alignment horizontal="center" vertical="center"/>
    </xf>
    <xf numFmtId="4" fontId="26" fillId="0" borderId="15" xfId="0" applyNumberFormat="1" applyFont="1" applyBorder="1" applyAlignment="1">
      <alignment horizontal="center" vertical="center"/>
    </xf>
    <xf numFmtId="4" fontId="25" fillId="0" borderId="22" xfId="0" applyNumberFormat="1" applyFont="1" applyBorder="1" applyAlignment="1">
      <alignment horizontal="center" vertical="center"/>
    </xf>
    <xf numFmtId="4" fontId="38" fillId="0" borderId="1" xfId="0" applyNumberFormat="1" applyFont="1" applyBorder="1" applyAlignment="1">
      <alignment horizontal="center" vertical="center"/>
    </xf>
    <xf numFmtId="4" fontId="39" fillId="0" borderId="1" xfId="0" applyNumberFormat="1" applyFont="1" applyBorder="1" applyAlignment="1">
      <alignment horizontal="center" vertical="center"/>
    </xf>
    <xf numFmtId="0" fontId="25" fillId="2" borderId="1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0" fontId="11" fillId="0" borderId="0" xfId="0" applyFont="1"/>
    <xf numFmtId="2" fontId="26" fillId="0" borderId="3" xfId="0" applyNumberFormat="1" applyFont="1" applyBorder="1" applyAlignment="1">
      <alignment horizontal="center" vertical="center" wrapText="1"/>
    </xf>
    <xf numFmtId="0" fontId="25" fillId="2" borderId="0" xfId="0" applyFont="1" applyFill="1" applyBorder="1"/>
    <xf numFmtId="0" fontId="25" fillId="3" borderId="0" xfId="0" applyFont="1" applyFill="1" applyBorder="1"/>
    <xf numFmtId="0" fontId="25" fillId="3" borderId="4" xfId="0" applyFont="1" applyFill="1" applyBorder="1"/>
    <xf numFmtId="0" fontId="0" fillId="3" borderId="0" xfId="0" applyFill="1"/>
    <xf numFmtId="0" fontId="11" fillId="2" borderId="1" xfId="0" applyFont="1" applyFill="1" applyBorder="1" applyAlignment="1">
      <alignment horizontal="center"/>
    </xf>
    <xf numFmtId="0" fontId="25" fillId="2" borderId="32" xfId="0" applyFont="1" applyFill="1" applyBorder="1"/>
    <xf numFmtId="0" fontId="11" fillId="2" borderId="33" xfId="0" applyFont="1" applyFill="1" applyBorder="1"/>
    <xf numFmtId="4" fontId="0" fillId="0" borderId="1" xfId="0" applyNumberFormat="1" applyBorder="1" applyAlignment="1">
      <alignment horizontal="center"/>
    </xf>
    <xf numFmtId="4" fontId="0" fillId="0" borderId="27" xfId="0" applyNumberFormat="1" applyBorder="1" applyAlignment="1">
      <alignment horizontal="center"/>
    </xf>
    <xf numFmtId="4" fontId="0" fillId="0" borderId="28" xfId="0" applyNumberFormat="1" applyBorder="1" applyAlignment="1">
      <alignment horizontal="center"/>
    </xf>
    <xf numFmtId="4" fontId="0" fillId="0" borderId="32" xfId="0" applyNumberFormat="1" applyBorder="1" applyAlignment="1">
      <alignment horizontal="center"/>
    </xf>
    <xf numFmtId="4" fontId="0" fillId="0" borderId="35" xfId="0" applyNumberFormat="1" applyBorder="1" applyAlignment="1">
      <alignment horizontal="center"/>
    </xf>
    <xf numFmtId="4" fontId="0" fillId="0" borderId="36" xfId="0" applyNumberFormat="1" applyBorder="1" applyAlignment="1">
      <alignment horizontal="center"/>
    </xf>
    <xf numFmtId="4" fontId="0" fillId="0" borderId="37" xfId="0" applyNumberFormat="1" applyBorder="1" applyAlignment="1">
      <alignment horizontal="center"/>
    </xf>
    <xf numFmtId="4" fontId="0" fillId="0" borderId="38" xfId="0" applyNumberFormat="1" applyBorder="1" applyAlignment="1">
      <alignment horizontal="center"/>
    </xf>
    <xf numFmtId="4" fontId="0" fillId="0" borderId="39" xfId="0" applyNumberFormat="1" applyBorder="1" applyAlignment="1">
      <alignment horizontal="center"/>
    </xf>
    <xf numFmtId="0" fontId="11" fillId="2" borderId="34" xfId="0" applyFont="1" applyFill="1" applyBorder="1" applyAlignment="1">
      <alignment horizontal="center" wrapText="1"/>
    </xf>
    <xf numFmtId="0" fontId="11" fillId="2" borderId="29" xfId="0" applyFont="1" applyFill="1" applyBorder="1" applyAlignment="1">
      <alignment horizontal="center" wrapText="1"/>
    </xf>
    <xf numFmtId="0" fontId="11" fillId="2" borderId="32" xfId="0" applyFont="1" applyFill="1" applyBorder="1" applyAlignment="1">
      <alignment horizontal="center"/>
    </xf>
    <xf numFmtId="0" fontId="11" fillId="2" borderId="27" xfId="0" applyFont="1" applyFill="1" applyBorder="1" applyAlignment="1">
      <alignment horizontal="center"/>
    </xf>
    <xf numFmtId="0" fontId="0" fillId="6" borderId="27" xfId="0" applyFill="1" applyBorder="1"/>
    <xf numFmtId="0" fontId="0" fillId="6" borderId="36" xfId="0" applyFill="1" applyBorder="1"/>
    <xf numFmtId="164" fontId="26" fillId="6" borderId="1" xfId="0" applyNumberFormat="1" applyFont="1" applyFill="1" applyBorder="1" applyAlignment="1">
      <alignment horizontal="center"/>
    </xf>
    <xf numFmtId="4" fontId="0" fillId="3" borderId="27" xfId="0" applyNumberFormat="1" applyFill="1" applyBorder="1" applyAlignment="1">
      <alignment horizontal="center"/>
    </xf>
    <xf numFmtId="4" fontId="0" fillId="0" borderId="40" xfId="0" applyNumberFormat="1" applyBorder="1" applyAlignment="1">
      <alignment horizontal="center"/>
    </xf>
    <xf numFmtId="167" fontId="26" fillId="6" borderId="1" xfId="0" applyNumberFormat="1" applyFont="1" applyFill="1" applyBorder="1" applyAlignment="1">
      <alignment horizontal="center"/>
    </xf>
    <xf numFmtId="167" fontId="26" fillId="3" borderId="1" xfId="0" applyNumberFormat="1" applyFont="1" applyFill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4" fontId="0" fillId="0" borderId="18" xfId="0" applyNumberFormat="1" applyBorder="1" applyAlignment="1">
      <alignment horizontal="center"/>
    </xf>
    <xf numFmtId="4" fontId="0" fillId="0" borderId="19" xfId="0" applyNumberFormat="1" applyBorder="1" applyAlignment="1">
      <alignment horizontal="center"/>
    </xf>
    <xf numFmtId="4" fontId="0" fillId="0" borderId="12" xfId="0" applyNumberFormat="1" applyBorder="1" applyAlignment="1">
      <alignment horizontal="center"/>
    </xf>
    <xf numFmtId="0" fontId="11" fillId="2" borderId="20" xfId="0" applyFont="1" applyFill="1" applyBorder="1" applyAlignment="1">
      <alignment horizontal="center" wrapText="1"/>
    </xf>
    <xf numFmtId="0" fontId="11" fillId="2" borderId="41" xfId="0" applyFont="1" applyFill="1" applyBorder="1" applyAlignment="1">
      <alignment horizontal="center" wrapText="1"/>
    </xf>
    <xf numFmtId="0" fontId="11" fillId="2" borderId="21" xfId="0" applyFont="1" applyFill="1" applyBorder="1" applyAlignment="1">
      <alignment horizontal="center" wrapText="1"/>
    </xf>
    <xf numFmtId="0" fontId="11" fillId="2" borderId="15" xfId="0" applyFont="1" applyFill="1" applyBorder="1" applyAlignment="1">
      <alignment horizontal="center"/>
    </xf>
    <xf numFmtId="0" fontId="11" fillId="2" borderId="16" xfId="0" applyFont="1" applyFill="1" applyBorder="1" applyAlignment="1">
      <alignment horizontal="center"/>
    </xf>
    <xf numFmtId="4" fontId="0" fillId="0" borderId="15" xfId="0" applyNumberFormat="1" applyBorder="1" applyAlignment="1">
      <alignment horizontal="center"/>
    </xf>
    <xf numFmtId="4" fontId="0" fillId="0" borderId="16" xfId="0" applyNumberFormat="1" applyBorder="1" applyAlignment="1">
      <alignment horizontal="center"/>
    </xf>
    <xf numFmtId="4" fontId="0" fillId="0" borderId="25" xfId="0" applyNumberFormat="1" applyBorder="1" applyAlignment="1">
      <alignment horizontal="center"/>
    </xf>
    <xf numFmtId="4" fontId="0" fillId="0" borderId="26" xfId="0" applyNumberFormat="1" applyBorder="1" applyAlignment="1">
      <alignment horizontal="center"/>
    </xf>
    <xf numFmtId="10" fontId="11" fillId="0" borderId="12" xfId="1" applyNumberFormat="1" applyFont="1" applyBorder="1"/>
    <xf numFmtId="0" fontId="11" fillId="2" borderId="0" xfId="0" applyFont="1" applyFill="1"/>
    <xf numFmtId="0" fontId="11" fillId="2" borderId="32" xfId="0" applyFont="1" applyFill="1" applyBorder="1"/>
    <xf numFmtId="0" fontId="0" fillId="6" borderId="1" xfId="0" applyFill="1" applyBorder="1" applyAlignment="1">
      <alignment horizontal="center"/>
    </xf>
    <xf numFmtId="4" fontId="0" fillId="3" borderId="1" xfId="0" applyNumberFormat="1" applyFill="1" applyBorder="1" applyAlignment="1">
      <alignment horizontal="center"/>
    </xf>
    <xf numFmtId="2" fontId="0" fillId="0" borderId="37" xfId="0" applyNumberFormat="1" applyBorder="1" applyAlignment="1">
      <alignment horizontal="center"/>
    </xf>
    <xf numFmtId="2" fontId="0" fillId="0" borderId="38" xfId="0" applyNumberFormat="1" applyBorder="1" applyAlignment="1">
      <alignment horizontal="center"/>
    </xf>
    <xf numFmtId="2" fontId="0" fillId="0" borderId="39" xfId="0" applyNumberFormat="1" applyBorder="1" applyAlignment="1">
      <alignment horizontal="center"/>
    </xf>
    <xf numFmtId="0" fontId="11" fillId="2" borderId="43" xfId="0" applyFont="1" applyFill="1" applyBorder="1" applyAlignment="1">
      <alignment horizontal="center" wrapText="1"/>
    </xf>
    <xf numFmtId="0" fontId="11" fillId="2" borderId="44" xfId="0" applyFont="1" applyFill="1" applyBorder="1" applyAlignment="1">
      <alignment horizontal="center"/>
    </xf>
    <xf numFmtId="4" fontId="0" fillId="0" borderId="44" xfId="0" applyNumberFormat="1" applyBorder="1" applyAlignment="1">
      <alignment horizontal="center"/>
    </xf>
    <xf numFmtId="4" fontId="0" fillId="0" borderId="45" xfId="0" applyNumberFormat="1" applyBorder="1" applyAlignment="1">
      <alignment horizontal="center"/>
    </xf>
    <xf numFmtId="0" fontId="0" fillId="6" borderId="2" xfId="0" applyFill="1" applyBorder="1" applyAlignment="1">
      <alignment horizontal="center"/>
    </xf>
    <xf numFmtId="4" fontId="0" fillId="0" borderId="22" xfId="0" applyNumberFormat="1" applyBorder="1" applyAlignment="1">
      <alignment horizontal="center"/>
    </xf>
    <xf numFmtId="4" fontId="0" fillId="0" borderId="42" xfId="0" applyNumberFormat="1" applyBorder="1" applyAlignment="1">
      <alignment horizontal="center"/>
    </xf>
    <xf numFmtId="0" fontId="0" fillId="6" borderId="42" xfId="0" applyFill="1" applyBorder="1" applyAlignment="1">
      <alignment horizontal="center"/>
    </xf>
    <xf numFmtId="4" fontId="0" fillId="0" borderId="23" xfId="0" applyNumberFormat="1" applyBorder="1" applyAlignment="1">
      <alignment horizontal="center"/>
    </xf>
    <xf numFmtId="0" fontId="43" fillId="0" borderId="0" xfId="0" applyFont="1"/>
    <xf numFmtId="0" fontId="0" fillId="6" borderId="1" xfId="0" applyFill="1" applyBorder="1"/>
    <xf numFmtId="0" fontId="11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horizontal="center" vertical="top" wrapText="1"/>
    </xf>
    <xf numFmtId="4" fontId="8" fillId="3" borderId="3" xfId="5" applyNumberFormat="1" applyFont="1" applyFill="1" applyBorder="1" applyAlignment="1">
      <alignment horizontal="center"/>
    </xf>
    <xf numFmtId="8" fontId="38" fillId="0" borderId="1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25" fillId="7" borderId="1" xfId="0" applyFont="1" applyFill="1" applyBorder="1" applyAlignment="1">
      <alignment horizontal="center" vertical="center" wrapText="1"/>
    </xf>
    <xf numFmtId="0" fontId="44" fillId="0" borderId="0" xfId="12" applyFont="1" applyAlignment="1">
      <alignment horizontal="center" vertical="center"/>
    </xf>
    <xf numFmtId="0" fontId="36" fillId="0" borderId="0" xfId="12" applyFont="1" applyAlignment="1">
      <alignment horizontal="center" vertical="center"/>
    </xf>
    <xf numFmtId="2" fontId="38" fillId="0" borderId="1" xfId="0" applyNumberFormat="1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5" fillId="7" borderId="1" xfId="5" applyFont="1" applyFill="1" applyBorder="1"/>
    <xf numFmtId="0" fontId="25" fillId="7" borderId="1" xfId="5" applyFont="1" applyFill="1" applyBorder="1" applyAlignment="1">
      <alignment horizontal="center" vertical="center"/>
    </xf>
    <xf numFmtId="0" fontId="25" fillId="7" borderId="1" xfId="0" applyFont="1" applyFill="1" applyBorder="1"/>
    <xf numFmtId="0" fontId="25" fillId="7" borderId="1" xfId="0" applyFont="1" applyFill="1" applyBorder="1" applyAlignment="1">
      <alignment horizontal="center"/>
    </xf>
    <xf numFmtId="0" fontId="29" fillId="7" borderId="1" xfId="12" applyFont="1" applyFill="1" applyBorder="1" applyAlignment="1">
      <alignment horizontal="center"/>
    </xf>
    <xf numFmtId="0" fontId="25" fillId="7" borderId="3" xfId="0" applyFont="1" applyFill="1" applyBorder="1"/>
    <xf numFmtId="0" fontId="25" fillId="7" borderId="1" xfId="0" applyFont="1" applyFill="1" applyBorder="1" applyAlignment="1">
      <alignment horizontal="center" vertical="center"/>
    </xf>
    <xf numFmtId="0" fontId="25" fillId="7" borderId="6" xfId="0" applyFont="1" applyFill="1" applyBorder="1" applyAlignment="1">
      <alignment horizontal="center" vertical="center"/>
    </xf>
    <xf numFmtId="0" fontId="25" fillId="7" borderId="3" xfId="0" applyFont="1" applyFill="1" applyBorder="1" applyAlignment="1">
      <alignment horizontal="left"/>
    </xf>
    <xf numFmtId="0" fontId="25" fillId="7" borderId="1" xfId="0" applyFont="1" applyFill="1" applyBorder="1" applyAlignment="1">
      <alignment horizontal="left"/>
    </xf>
    <xf numFmtId="2" fontId="25" fillId="7" borderId="1" xfId="0" applyNumberFormat="1" applyFont="1" applyFill="1" applyBorder="1" applyAlignment="1">
      <alignment horizontal="center"/>
    </xf>
    <xf numFmtId="166" fontId="25" fillId="7" borderId="1" xfId="0" applyNumberFormat="1" applyFont="1" applyFill="1" applyBorder="1" applyAlignment="1">
      <alignment horizontal="center"/>
    </xf>
    <xf numFmtId="0" fontId="11" fillId="7" borderId="1" xfId="5" applyFont="1" applyFill="1" applyBorder="1" applyAlignment="1">
      <alignment horizontal="center" vertical="center"/>
    </xf>
    <xf numFmtId="0" fontId="11" fillId="7" borderId="1" xfId="5" applyFont="1" applyFill="1" applyBorder="1"/>
    <xf numFmtId="0" fontId="11" fillId="7" borderId="6" xfId="5" applyFont="1" applyFill="1" applyBorder="1" applyAlignment="1">
      <alignment horizontal="center" vertical="center"/>
    </xf>
    <xf numFmtId="0" fontId="11" fillId="7" borderId="1" xfId="5" applyFont="1" applyFill="1" applyBorder="1" applyAlignment="1">
      <alignment horizontal="center" vertical="center" wrapText="1"/>
    </xf>
    <xf numFmtId="0" fontId="11" fillId="7" borderId="6" xfId="5" applyFont="1" applyFill="1" applyBorder="1" applyAlignment="1">
      <alignment horizontal="center" vertical="center" wrapText="1"/>
    </xf>
    <xf numFmtId="10" fontId="11" fillId="7" borderId="7" xfId="13" applyNumberFormat="1" applyFont="1" applyFill="1" applyBorder="1" applyAlignment="1">
      <alignment horizontal="center" vertical="center"/>
    </xf>
    <xf numFmtId="4" fontId="11" fillId="7" borderId="3" xfId="5" applyNumberFormat="1" applyFont="1" applyFill="1" applyBorder="1" applyAlignment="1">
      <alignment horizontal="center" vertical="center"/>
    </xf>
    <xf numFmtId="10" fontId="11" fillId="7" borderId="3" xfId="13" applyNumberFormat="1" applyFont="1" applyFill="1" applyBorder="1" applyAlignment="1">
      <alignment horizontal="center" vertical="center"/>
    </xf>
    <xf numFmtId="4" fontId="11" fillId="7" borderId="1" xfId="5" applyNumberFormat="1" applyFont="1" applyFill="1" applyBorder="1" applyAlignment="1">
      <alignment horizontal="center" vertical="center"/>
    </xf>
    <xf numFmtId="10" fontId="11" fillId="7" borderId="3" xfId="1" applyNumberFormat="1" applyFont="1" applyFill="1" applyBorder="1" applyAlignment="1">
      <alignment horizontal="center" vertical="center"/>
    </xf>
    <xf numFmtId="10" fontId="11" fillId="7" borderId="9" xfId="13" applyNumberFormat="1" applyFont="1" applyFill="1" applyBorder="1" applyAlignment="1">
      <alignment horizontal="center" vertical="center"/>
    </xf>
    <xf numFmtId="10" fontId="11" fillId="7" borderId="9" xfId="1" applyNumberFormat="1" applyFont="1" applyFill="1" applyBorder="1" applyAlignment="1">
      <alignment horizontal="center" vertical="center"/>
    </xf>
    <xf numFmtId="0" fontId="11" fillId="7" borderId="3" xfId="5" applyFont="1" applyFill="1" applyBorder="1" applyAlignment="1">
      <alignment wrapText="1"/>
    </xf>
    <xf numFmtId="0" fontId="11" fillId="7" borderId="9" xfId="5" applyFont="1" applyFill="1" applyBorder="1"/>
    <xf numFmtId="4" fontId="11" fillId="7" borderId="1" xfId="5" applyNumberFormat="1" applyFont="1" applyFill="1" applyBorder="1" applyAlignment="1">
      <alignment horizontal="center" vertical="center" wrapText="1"/>
    </xf>
    <xf numFmtId="0" fontId="11" fillId="7" borderId="6" xfId="5" applyFont="1" applyFill="1" applyBorder="1" applyAlignment="1">
      <alignment vertical="center"/>
    </xf>
    <xf numFmtId="0" fontId="11" fillId="7" borderId="3" xfId="5" applyFont="1" applyFill="1" applyBorder="1"/>
    <xf numFmtId="0" fontId="14" fillId="7" borderId="0" xfId="5" applyFont="1" applyFill="1"/>
    <xf numFmtId="0" fontId="14" fillId="7" borderId="0" xfId="5" applyFont="1" applyFill="1" applyAlignment="1">
      <alignment horizontal="right"/>
    </xf>
    <xf numFmtId="0" fontId="31" fillId="0" borderId="0" xfId="0" applyFont="1"/>
    <xf numFmtId="0" fontId="31" fillId="3" borderId="0" xfId="0" applyFont="1" applyFill="1"/>
    <xf numFmtId="4" fontId="47" fillId="0" borderId="0" xfId="0" applyNumberFormat="1" applyFont="1" applyFill="1" applyBorder="1" applyAlignment="1">
      <alignment horizontal="center" vertical="center"/>
    </xf>
    <xf numFmtId="4" fontId="48" fillId="0" borderId="0" xfId="0" applyNumberFormat="1" applyFont="1" applyFill="1" applyBorder="1" applyAlignment="1">
      <alignment horizontal="center" vertical="center"/>
    </xf>
    <xf numFmtId="1" fontId="31" fillId="0" borderId="0" xfId="0" applyNumberFormat="1" applyFont="1"/>
    <xf numFmtId="4" fontId="31" fillId="0" borderId="0" xfId="0" applyNumberFormat="1" applyFont="1"/>
    <xf numFmtId="0" fontId="31" fillId="8" borderId="0" xfId="0" applyFont="1" applyFill="1"/>
    <xf numFmtId="2" fontId="31" fillId="0" borderId="0" xfId="0" applyNumberFormat="1" applyFont="1"/>
    <xf numFmtId="4" fontId="4" fillId="3" borderId="3" xfId="5" quotePrefix="1" applyNumberFormat="1" applyFont="1" applyFill="1" applyBorder="1" applyAlignment="1">
      <alignment horizontal="center" vertical="center"/>
    </xf>
    <xf numFmtId="0" fontId="28" fillId="0" borderId="0" xfId="0" applyFont="1"/>
    <xf numFmtId="0" fontId="49" fillId="0" borderId="0" xfId="0" applyFont="1"/>
    <xf numFmtId="0" fontId="28" fillId="0" borderId="13" xfId="0" applyFont="1" applyBorder="1"/>
    <xf numFmtId="0" fontId="28" fillId="0" borderId="14" xfId="0" applyFont="1" applyBorder="1"/>
    <xf numFmtId="0" fontId="49" fillId="7" borderId="15" xfId="0" applyFont="1" applyFill="1" applyBorder="1" applyAlignment="1">
      <alignment horizontal="center" vertical="center"/>
    </xf>
    <xf numFmtId="0" fontId="49" fillId="7" borderId="16" xfId="0" applyFont="1" applyFill="1" applyBorder="1" applyAlignment="1">
      <alignment horizontal="center" vertical="center"/>
    </xf>
    <xf numFmtId="0" fontId="49" fillId="7" borderId="9" xfId="0" applyFont="1" applyFill="1" applyBorder="1" applyAlignment="1">
      <alignment horizontal="left"/>
    </xf>
    <xf numFmtId="4" fontId="50" fillId="0" borderId="15" xfId="0" applyNumberFormat="1" applyFont="1" applyBorder="1" applyAlignment="1">
      <alignment horizontal="center" vertical="center"/>
    </xf>
    <xf numFmtId="4" fontId="50" fillId="0" borderId="16" xfId="0" applyNumberFormat="1" applyFont="1" applyBorder="1" applyAlignment="1">
      <alignment horizontal="center" vertical="center"/>
    </xf>
    <xf numFmtId="0" fontId="49" fillId="7" borderId="6" xfId="0" applyFont="1" applyFill="1" applyBorder="1" applyAlignment="1">
      <alignment horizontal="left"/>
    </xf>
    <xf numFmtId="0" fontId="31" fillId="0" borderId="0" xfId="0" applyFont="1" applyFill="1" applyBorder="1"/>
    <xf numFmtId="9" fontId="31" fillId="0" borderId="0" xfId="1" applyFont="1"/>
    <xf numFmtId="0" fontId="0" fillId="0" borderId="0" xfId="0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11" fillId="7" borderId="1" xfId="0" applyFont="1" applyFill="1" applyBorder="1"/>
    <xf numFmtId="0" fontId="11" fillId="7" borderId="1" xfId="0" applyFont="1" applyFill="1" applyBorder="1" applyAlignment="1">
      <alignment horizontal="center"/>
    </xf>
    <xf numFmtId="0" fontId="11" fillId="7" borderId="1" xfId="0" applyFont="1" applyFill="1" applyBorder="1" applyAlignment="1">
      <alignment horizontal="center" wrapText="1"/>
    </xf>
    <xf numFmtId="0" fontId="3" fillId="7" borderId="1" xfId="0" applyFont="1" applyFill="1" applyBorder="1"/>
    <xf numFmtId="0" fontId="38" fillId="0" borderId="1" xfId="0" applyFont="1" applyBorder="1" applyAlignment="1">
      <alignment horizontal="center" vertical="center" wrapText="1"/>
    </xf>
    <xf numFmtId="0" fontId="26" fillId="7" borderId="12" xfId="0" applyFont="1" applyFill="1" applyBorder="1" applyAlignment="1">
      <alignment horizontal="center" vertical="center" textRotation="90" wrapText="1"/>
    </xf>
    <xf numFmtId="0" fontId="26" fillId="7" borderId="47" xfId="0" applyFont="1" applyFill="1" applyBorder="1" applyAlignment="1">
      <alignment horizontal="center" vertical="center" textRotation="90" wrapText="1"/>
    </xf>
    <xf numFmtId="0" fontId="11" fillId="0" borderId="18" xfId="0" applyFont="1" applyBorder="1" applyAlignment="1">
      <alignment horizontal="center"/>
    </xf>
    <xf numFmtId="2" fontId="11" fillId="0" borderId="24" xfId="0" applyNumberFormat="1" applyFont="1" applyBorder="1" applyAlignment="1">
      <alignment horizontal="center"/>
    </xf>
    <xf numFmtId="2" fontId="11" fillId="0" borderId="19" xfId="0" applyNumberFormat="1" applyFont="1" applyBorder="1" applyAlignment="1">
      <alignment horizontal="center"/>
    </xf>
    <xf numFmtId="0" fontId="25" fillId="7" borderId="1" xfId="0" applyFont="1" applyFill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26" fillId="0" borderId="1" xfId="5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2" fontId="2" fillId="0" borderId="2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9" fillId="7" borderId="20" xfId="0" applyFont="1" applyFill="1" applyBorder="1" applyAlignment="1">
      <alignment horizontal="center" vertical="center"/>
    </xf>
    <xf numFmtId="0" fontId="49" fillId="7" borderId="21" xfId="0" applyFont="1" applyFill="1" applyBorder="1" applyAlignment="1">
      <alignment horizontal="center" vertical="center"/>
    </xf>
    <xf numFmtId="0" fontId="28" fillId="0" borderId="4" xfId="0" applyFont="1" applyBorder="1"/>
    <xf numFmtId="4" fontId="28" fillId="0" borderId="4" xfId="0" applyNumberFormat="1" applyFont="1" applyBorder="1"/>
    <xf numFmtId="4" fontId="50" fillId="0" borderId="4" xfId="0" applyNumberFormat="1" applyFont="1" applyFill="1" applyBorder="1" applyAlignment="1">
      <alignment horizontal="center" vertical="center"/>
    </xf>
    <xf numFmtId="4" fontId="51" fillId="0" borderId="37" xfId="0" applyNumberFormat="1" applyFont="1" applyBorder="1" applyAlignment="1">
      <alignment horizontal="center" vertical="center"/>
    </xf>
    <xf numFmtId="4" fontId="51" fillId="0" borderId="12" xfId="0" applyNumberFormat="1" applyFont="1" applyBorder="1" applyAlignment="1">
      <alignment horizontal="center" vertical="center"/>
    </xf>
    <xf numFmtId="4" fontId="51" fillId="0" borderId="39" xfId="0" applyNumberFormat="1" applyFont="1" applyBorder="1" applyAlignment="1">
      <alignment horizontal="center" vertical="center"/>
    </xf>
    <xf numFmtId="0" fontId="25" fillId="7" borderId="1" xfId="0" applyFont="1" applyFill="1" applyBorder="1" applyAlignment="1">
      <alignment horizontal="center" wrapText="1"/>
    </xf>
    <xf numFmtId="0" fontId="30" fillId="0" borderId="1" xfId="12" applyFont="1" applyBorder="1" applyAlignment="1">
      <alignment horizontal="center" vertical="center"/>
    </xf>
    <xf numFmtId="0" fontId="30" fillId="0" borderId="1" xfId="12" applyFont="1" applyBorder="1" applyAlignment="1">
      <alignment horizontal="center" vertical="center"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2" fontId="53" fillId="0" borderId="2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1" fillId="3" borderId="1" xfId="0" applyFont="1" applyFill="1" applyBorder="1"/>
    <xf numFmtId="0" fontId="11" fillId="3" borderId="1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 wrapText="1"/>
    </xf>
    <xf numFmtId="0" fontId="11" fillId="0" borderId="1" xfId="0" applyFont="1" applyBorder="1" applyAlignment="1">
      <alignment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1" fillId="0" borderId="0" xfId="0" applyFont="1" applyFill="1" applyBorder="1"/>
    <xf numFmtId="0" fontId="59" fillId="3" borderId="2" xfId="0" applyFont="1" applyFill="1" applyBorder="1" applyAlignment="1">
      <alignment horizontal="center" wrapText="1"/>
    </xf>
    <xf numFmtId="2" fontId="60" fillId="0" borderId="2" xfId="0" applyNumberFormat="1" applyFont="1" applyBorder="1" applyAlignment="1">
      <alignment horizontal="center"/>
    </xf>
    <xf numFmtId="2" fontId="60" fillId="0" borderId="1" xfId="0" applyNumberFormat="1" applyFont="1" applyBorder="1" applyAlignment="1">
      <alignment horizontal="center"/>
    </xf>
    <xf numFmtId="2" fontId="59" fillId="0" borderId="24" xfId="0" applyNumberFormat="1" applyFont="1" applyBorder="1" applyAlignment="1">
      <alignment horizontal="center"/>
    </xf>
    <xf numFmtId="0" fontId="11" fillId="7" borderId="6" xfId="0" applyFont="1" applyFill="1" applyBorder="1" applyAlignment="1">
      <alignment horizontal="center" wrapText="1"/>
    </xf>
    <xf numFmtId="0" fontId="59" fillId="3" borderId="48" xfId="0" applyFont="1" applyFill="1" applyBorder="1" applyAlignment="1">
      <alignment horizontal="center" wrapText="1"/>
    </xf>
    <xf numFmtId="2" fontId="60" fillId="0" borderId="48" xfId="0" applyNumberFormat="1" applyFont="1" applyBorder="1" applyAlignment="1">
      <alignment horizontal="center"/>
    </xf>
    <xf numFmtId="2" fontId="60" fillId="0" borderId="6" xfId="0" applyNumberFormat="1" applyFont="1" applyBorder="1" applyAlignment="1">
      <alignment horizontal="center"/>
    </xf>
    <xf numFmtId="0" fontId="0" fillId="0" borderId="1" xfId="0" applyBorder="1"/>
    <xf numFmtId="0" fontId="57" fillId="0" borderId="1" xfId="0" applyFont="1" applyBorder="1" applyAlignment="1">
      <alignment wrapText="1"/>
    </xf>
    <xf numFmtId="0" fontId="58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9" fontId="0" fillId="0" borderId="0" xfId="1" applyFont="1"/>
    <xf numFmtId="2" fontId="11" fillId="0" borderId="0" xfId="1" applyNumberFormat="1" applyFont="1" applyAlignment="1">
      <alignment horizontal="center"/>
    </xf>
    <xf numFmtId="2" fontId="11" fillId="0" borderId="0" xfId="0" applyNumberFormat="1" applyFont="1" applyAlignment="1">
      <alignment horizontal="center"/>
    </xf>
    <xf numFmtId="9" fontId="11" fillId="0" borderId="0" xfId="1" applyFont="1" applyAlignment="1">
      <alignment horizontal="left"/>
    </xf>
    <xf numFmtId="2" fontId="30" fillId="0" borderId="0" xfId="12" applyNumberFormat="1" applyFont="1" applyAlignment="1">
      <alignment horizontal="center" vertical="center"/>
    </xf>
    <xf numFmtId="0" fontId="11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23" fillId="0" borderId="0" xfId="5" applyFont="1" applyAlignment="1">
      <alignment horizontal="left" wrapText="1"/>
    </xf>
    <xf numFmtId="0" fontId="14" fillId="0" borderId="0" xfId="5" applyFont="1" applyAlignment="1">
      <alignment horizontal="left"/>
    </xf>
    <xf numFmtId="0" fontId="15" fillId="7" borderId="0" xfId="5" applyFont="1" applyFill="1" applyAlignment="1">
      <alignment horizontal="center" wrapText="1"/>
    </xf>
    <xf numFmtId="0" fontId="18" fillId="7" borderId="0" xfId="5" applyFont="1" applyFill="1" applyAlignment="1">
      <alignment horizontal="center"/>
    </xf>
    <xf numFmtId="0" fontId="19" fillId="0" borderId="0" xfId="5" applyFont="1" applyAlignment="1">
      <alignment horizontal="center"/>
    </xf>
    <xf numFmtId="0" fontId="20" fillId="0" borderId="0" xfId="5" applyFont="1" applyBorder="1" applyAlignment="1">
      <alignment horizontal="center" vertical="center" wrapText="1"/>
    </xf>
    <xf numFmtId="0" fontId="20" fillId="0" borderId="0" xfId="5" applyFont="1" applyBorder="1" applyAlignment="1">
      <alignment horizontal="center" vertical="center"/>
    </xf>
    <xf numFmtId="0" fontId="21" fillId="0" borderId="0" xfId="5" applyFont="1" applyAlignment="1">
      <alignment horizontal="center"/>
    </xf>
    <xf numFmtId="0" fontId="22" fillId="0" borderId="0" xfId="5" applyFont="1" applyAlignment="1">
      <alignment horizontal="center"/>
    </xf>
    <xf numFmtId="0" fontId="25" fillId="7" borderId="6" xfId="0" applyFont="1" applyFill="1" applyBorder="1" applyAlignment="1">
      <alignment horizontal="center"/>
    </xf>
    <xf numFmtId="0" fontId="25" fillId="7" borderId="8" xfId="0" applyFont="1" applyFill="1" applyBorder="1" applyAlignment="1">
      <alignment horizontal="center"/>
    </xf>
    <xf numFmtId="0" fontId="25" fillId="7" borderId="7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26" fillId="0" borderId="0" xfId="0" applyFont="1" applyAlignment="1">
      <alignment horizontal="left" vertical="center" wrapText="1"/>
    </xf>
    <xf numFmtId="0" fontId="26" fillId="0" borderId="10" xfId="0" applyFont="1" applyBorder="1" applyAlignment="1">
      <alignment horizontal="left" vertical="center" wrapText="1"/>
    </xf>
    <xf numFmtId="0" fontId="25" fillId="7" borderId="48" xfId="0" applyFont="1" applyFill="1" applyBorder="1" applyAlignment="1">
      <alignment horizontal="center" vertical="center"/>
    </xf>
    <xf numFmtId="0" fontId="25" fillId="7" borderId="51" xfId="0" applyFont="1" applyFill="1" applyBorder="1" applyAlignment="1">
      <alignment horizontal="center" vertical="center"/>
    </xf>
    <xf numFmtId="0" fontId="25" fillId="7" borderId="49" xfId="0" applyFont="1" applyFill="1" applyBorder="1" applyAlignment="1">
      <alignment horizontal="center" vertical="center"/>
    </xf>
    <xf numFmtId="0" fontId="25" fillId="7" borderId="9" xfId="0" applyFont="1" applyFill="1" applyBorder="1" applyAlignment="1">
      <alignment horizontal="center" vertical="center"/>
    </xf>
    <xf numFmtId="0" fontId="25" fillId="7" borderId="10" xfId="0" applyFont="1" applyFill="1" applyBorder="1" applyAlignment="1">
      <alignment horizontal="center" vertical="center"/>
    </xf>
    <xf numFmtId="0" fontId="25" fillId="7" borderId="50" xfId="0" applyFont="1" applyFill="1" applyBorder="1" applyAlignment="1">
      <alignment horizontal="center" vertical="center"/>
    </xf>
    <xf numFmtId="0" fontId="29" fillId="7" borderId="1" xfId="12" applyFont="1" applyFill="1" applyBorder="1" applyAlignment="1">
      <alignment horizontal="center" vertical="center"/>
    </xf>
    <xf numFmtId="0" fontId="30" fillId="0" borderId="0" xfId="12" applyFont="1" applyAlignment="1">
      <alignment horizontal="left" vertical="center"/>
    </xf>
    <xf numFmtId="0" fontId="49" fillId="7" borderId="6" xfId="0" applyFont="1" applyFill="1" applyBorder="1" applyAlignment="1">
      <alignment horizontal="center" vertical="center"/>
    </xf>
    <xf numFmtId="0" fontId="49" fillId="7" borderId="18" xfId="0" applyFont="1" applyFill="1" applyBorder="1" applyAlignment="1">
      <alignment horizontal="center"/>
    </xf>
    <xf numFmtId="0" fontId="49" fillId="7" borderId="19" xfId="0" applyFont="1" applyFill="1" applyBorder="1" applyAlignment="1">
      <alignment horizontal="center"/>
    </xf>
    <xf numFmtId="0" fontId="25" fillId="2" borderId="6" xfId="0" applyFont="1" applyFill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60" fillId="0" borderId="2" xfId="0" applyNumberFormat="1" applyFont="1" applyBorder="1" applyAlignment="1">
      <alignment horizontal="center"/>
    </xf>
    <xf numFmtId="2" fontId="60" fillId="0" borderId="4" xfId="0" applyNumberFormat="1" applyFont="1" applyBorder="1" applyAlignment="1">
      <alignment horizontal="center"/>
    </xf>
    <xf numFmtId="2" fontId="60" fillId="0" borderId="3" xfId="0" applyNumberFormat="1" applyFont="1" applyBorder="1" applyAlignment="1">
      <alignment horizontal="center"/>
    </xf>
    <xf numFmtId="2" fontId="60" fillId="0" borderId="48" xfId="0" applyNumberFormat="1" applyFont="1" applyBorder="1" applyAlignment="1">
      <alignment horizontal="center"/>
    </xf>
    <xf numFmtId="2" fontId="60" fillId="0" borderId="5" xfId="0" applyNumberFormat="1" applyFont="1" applyBorder="1" applyAlignment="1">
      <alignment horizontal="center"/>
    </xf>
    <xf numFmtId="2" fontId="60" fillId="0" borderId="9" xfId="0" applyNumberFormat="1" applyFont="1" applyBorder="1" applyAlignment="1">
      <alignment horizontal="center"/>
    </xf>
    <xf numFmtId="2" fontId="60" fillId="0" borderId="55" xfId="0" applyNumberFormat="1" applyFont="1" applyBorder="1" applyAlignment="1">
      <alignment horizontal="center"/>
    </xf>
    <xf numFmtId="2" fontId="60" fillId="0" borderId="56" xfId="0" applyNumberFormat="1" applyFont="1" applyBorder="1" applyAlignment="1">
      <alignment horizontal="center"/>
    </xf>
    <xf numFmtId="0" fontId="25" fillId="7" borderId="1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left"/>
    </xf>
    <xf numFmtId="0" fontId="25" fillId="7" borderId="2" xfId="0" applyFont="1" applyFill="1" applyBorder="1" applyAlignment="1">
      <alignment horizontal="center" vertical="center" wrapText="1"/>
    </xf>
    <xf numFmtId="0" fontId="25" fillId="7" borderId="3" xfId="0" applyFont="1" applyFill="1" applyBorder="1" applyAlignment="1">
      <alignment horizontal="center" vertical="center" wrapText="1"/>
    </xf>
    <xf numFmtId="0" fontId="25" fillId="7" borderId="3" xfId="0" applyFont="1" applyFill="1" applyBorder="1" applyAlignment="1">
      <alignment horizontal="center"/>
    </xf>
    <xf numFmtId="0" fontId="25" fillId="7" borderId="1" xfId="0" applyFont="1" applyFill="1" applyBorder="1" applyAlignment="1">
      <alignment horizontal="center"/>
    </xf>
    <xf numFmtId="0" fontId="25" fillId="7" borderId="1" xfId="0" applyFont="1" applyFill="1" applyBorder="1" applyAlignment="1">
      <alignment horizontal="center" vertical="center" wrapText="1"/>
    </xf>
    <xf numFmtId="0" fontId="25" fillId="7" borderId="47" xfId="0" applyFont="1" applyFill="1" applyBorder="1" applyAlignment="1">
      <alignment horizontal="center" vertical="center" textRotation="90" wrapText="1"/>
    </xf>
    <xf numFmtId="0" fontId="25" fillId="7" borderId="13" xfId="0" applyFont="1" applyFill="1" applyBorder="1" applyAlignment="1">
      <alignment horizontal="center" vertical="center" textRotation="90" wrapText="1"/>
    </xf>
    <xf numFmtId="0" fontId="25" fillId="7" borderId="52" xfId="0" applyFont="1" applyFill="1" applyBorder="1" applyAlignment="1">
      <alignment horizontal="center" vertical="center" textRotation="90" wrapText="1"/>
    </xf>
    <xf numFmtId="0" fontId="26" fillId="7" borderId="46" xfId="0" applyFont="1" applyFill="1" applyBorder="1" applyAlignment="1">
      <alignment horizontal="center" vertical="center" textRotation="90" wrapText="1"/>
    </xf>
    <xf numFmtId="0" fontId="26" fillId="7" borderId="17" xfId="0" applyFont="1" applyFill="1" applyBorder="1" applyAlignment="1">
      <alignment horizontal="center" vertical="center" textRotation="90" wrapText="1"/>
    </xf>
    <xf numFmtId="0" fontId="11" fillId="7" borderId="1" xfId="5" applyFont="1" applyFill="1" applyBorder="1" applyAlignment="1">
      <alignment horizontal="center" vertical="center"/>
    </xf>
    <xf numFmtId="0" fontId="11" fillId="7" borderId="6" xfId="5" applyFont="1" applyFill="1" applyBorder="1" applyAlignment="1">
      <alignment horizontal="center" vertical="center"/>
    </xf>
    <xf numFmtId="0" fontId="11" fillId="7" borderId="8" xfId="5" applyFont="1" applyFill="1" applyBorder="1" applyAlignment="1">
      <alignment horizontal="center" vertical="center"/>
    </xf>
    <xf numFmtId="0" fontId="11" fillId="7" borderId="7" xfId="5" applyFont="1" applyFill="1" applyBorder="1" applyAlignment="1">
      <alignment horizontal="center" vertical="center"/>
    </xf>
    <xf numFmtId="0" fontId="11" fillId="7" borderId="1" xfId="5" applyFont="1" applyFill="1" applyBorder="1" applyAlignment="1">
      <alignment horizontal="center" vertical="center" wrapText="1"/>
    </xf>
    <xf numFmtId="0" fontId="11" fillId="7" borderId="5" xfId="5" applyFont="1" applyFill="1" applyBorder="1" applyAlignment="1">
      <alignment horizontal="center" vertical="center"/>
    </xf>
    <xf numFmtId="0" fontId="11" fillId="7" borderId="0" xfId="5" applyFont="1" applyFill="1" applyBorder="1" applyAlignment="1">
      <alignment horizontal="center" vertical="center"/>
    </xf>
    <xf numFmtId="0" fontId="11" fillId="7" borderId="6" xfId="5" applyFont="1" applyFill="1" applyBorder="1" applyAlignment="1">
      <alignment horizontal="left"/>
    </xf>
    <xf numFmtId="0" fontId="11" fillId="7" borderId="8" xfId="5" applyFont="1" applyFill="1" applyBorder="1" applyAlignment="1">
      <alignment horizontal="left"/>
    </xf>
    <xf numFmtId="4" fontId="7" fillId="3" borderId="6" xfId="5" applyNumberFormat="1" applyFont="1" applyFill="1" applyBorder="1" applyAlignment="1">
      <alignment horizontal="center" vertical="center"/>
    </xf>
    <xf numFmtId="4" fontId="7" fillId="3" borderId="7" xfId="5" applyNumberFormat="1" applyFont="1" applyFill="1" applyBorder="1" applyAlignment="1">
      <alignment horizontal="center" vertical="center"/>
    </xf>
    <xf numFmtId="0" fontId="11" fillId="7" borderId="6" xfId="5" applyFont="1" applyFill="1" applyBorder="1" applyAlignment="1">
      <alignment horizontal="center" vertical="center" wrapText="1"/>
    </xf>
    <xf numFmtId="0" fontId="11" fillId="7" borderId="7" xfId="5" applyFont="1" applyFill="1" applyBorder="1" applyAlignment="1">
      <alignment horizontal="center" vertical="center" wrapText="1"/>
    </xf>
    <xf numFmtId="0" fontId="11" fillId="7" borderId="6" xfId="5" applyFont="1" applyFill="1" applyBorder="1" applyAlignment="1">
      <alignment horizontal="center"/>
    </xf>
    <xf numFmtId="0" fontId="11" fillId="7" borderId="8" xfId="5" applyFont="1" applyFill="1" applyBorder="1" applyAlignment="1">
      <alignment horizontal="center"/>
    </xf>
    <xf numFmtId="0" fontId="11" fillId="7" borderId="7" xfId="5" applyFont="1" applyFill="1" applyBorder="1" applyAlignment="1">
      <alignment horizontal="center"/>
    </xf>
    <xf numFmtId="0" fontId="11" fillId="7" borderId="4" xfId="5" applyFont="1" applyFill="1" applyBorder="1" applyAlignment="1">
      <alignment horizontal="center" vertical="center"/>
    </xf>
    <xf numFmtId="0" fontId="11" fillId="7" borderId="3" xfId="5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11" fillId="2" borderId="34" xfId="0" applyFont="1" applyFill="1" applyBorder="1" applyAlignment="1">
      <alignment horizontal="center" wrapText="1"/>
    </xf>
    <xf numFmtId="0" fontId="11" fillId="2" borderId="32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vertical="top"/>
    </xf>
    <xf numFmtId="0" fontId="11" fillId="2" borderId="30" xfId="0" applyFont="1" applyFill="1" applyBorder="1" applyAlignment="1">
      <alignment horizontal="center"/>
    </xf>
    <xf numFmtId="0" fontId="11" fillId="2" borderId="31" xfId="0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0" fontId="11" fillId="2" borderId="24" xfId="0" applyFont="1" applyFill="1" applyBorder="1" applyAlignment="1">
      <alignment horizontal="center"/>
    </xf>
    <xf numFmtId="0" fontId="25" fillId="2" borderId="1" xfId="0" applyFont="1" applyFill="1" applyBorder="1" applyAlignment="1">
      <alignment horizontal="left" vertical="center"/>
    </xf>
    <xf numFmtId="0" fontId="25" fillId="2" borderId="1" xfId="0" applyFont="1" applyFill="1" applyBorder="1" applyAlignment="1">
      <alignment horizontal="center"/>
    </xf>
    <xf numFmtId="0" fontId="34" fillId="4" borderId="11" xfId="15" applyNumberFormat="1" applyFont="1" applyFill="1" applyBorder="1">
      <alignment horizontal="left" vertical="center" wrapText="1"/>
    </xf>
    <xf numFmtId="0" fontId="61" fillId="0" borderId="1" xfId="0" applyFont="1" applyBorder="1" applyAlignment="1">
      <alignment horizontal="justify" vertical="center" wrapText="1"/>
    </xf>
    <xf numFmtId="3" fontId="61" fillId="0" borderId="1" xfId="0" applyNumberFormat="1" applyFont="1" applyBorder="1" applyAlignment="1">
      <alignment horizontal="justify" vertical="center" wrapText="1"/>
    </xf>
    <xf numFmtId="2" fontId="0" fillId="0" borderId="1" xfId="0" applyNumberFormat="1" applyBorder="1"/>
    <xf numFmtId="4" fontId="61" fillId="0" borderId="1" xfId="0" applyNumberFormat="1" applyFont="1" applyBorder="1" applyAlignment="1">
      <alignment horizontal="justify" vertical="center" wrapText="1"/>
    </xf>
    <xf numFmtId="10" fontId="0" fillId="0" borderId="1" xfId="1" applyNumberFormat="1" applyFont="1" applyBorder="1"/>
    <xf numFmtId="0" fontId="61" fillId="7" borderId="1" xfId="0" applyFont="1" applyFill="1" applyBorder="1" applyAlignment="1">
      <alignment horizontal="justify" vertical="center" wrapText="1"/>
    </xf>
  </cellXfs>
  <cellStyles count="32">
    <cellStyle name="20% — akcent 2 2" xfId="31"/>
    <cellStyle name="20% — akcent 6 2" xfId="27"/>
    <cellStyle name="40% — akcent 1 2" xfId="29"/>
    <cellStyle name="40% — akcent 3 2" xfId="30"/>
    <cellStyle name="Akcent 2 2" xfId="26"/>
    <cellStyle name="Akcent 3 2" xfId="28"/>
    <cellStyle name="Akcent 4 2" xfId="23"/>
    <cellStyle name="Akcent 5 2" xfId="24"/>
    <cellStyle name="Akcent 6 2" xfId="25"/>
    <cellStyle name="Dziesiętny 2" xfId="3"/>
    <cellStyle name="Dziesiętny 3" xfId="7"/>
    <cellStyle name="Excel Built-in Normal" xfId="20"/>
    <cellStyle name="Kolumna" xfId="15"/>
    <cellStyle name="Komórka zaznaczona 2" xfId="21"/>
    <cellStyle name="Normal 2" xfId="16"/>
    <cellStyle name="Normal 3" xfId="17"/>
    <cellStyle name="Normalny" xfId="0" builtinId="0"/>
    <cellStyle name="Normalny 2" xfId="2"/>
    <cellStyle name="Normalny 2 2" xfId="5"/>
    <cellStyle name="Normalny 2 3" xfId="8"/>
    <cellStyle name="Normalny 3" xfId="6"/>
    <cellStyle name="Normalny 4" xfId="9"/>
    <cellStyle name="Normalny 5" xfId="10"/>
    <cellStyle name="Normalny 6" xfId="11"/>
    <cellStyle name="Normalny 7" xfId="12"/>
    <cellStyle name="Normalny 8" xfId="14"/>
    <cellStyle name="Percent 2" xfId="18"/>
    <cellStyle name="Procentowy" xfId="1" builtinId="5"/>
    <cellStyle name="Procentowy 2" xfId="4"/>
    <cellStyle name="Procentowy 2 2" xfId="13"/>
    <cellStyle name="Uwaga 2" xfId="22"/>
    <cellStyle name="Walutowy 2" xfId="19"/>
  </cellStyles>
  <dxfs count="2">
    <dxf>
      <fill>
        <patternFill>
          <bgColor theme="0" tint="-4.9989318521683403E-2"/>
        </patternFill>
      </fill>
    </dxf>
    <dxf>
      <font>
        <color theme="0"/>
      </font>
      <fill>
        <patternFill>
          <bgColor rgb="FF339966"/>
        </patternFill>
      </fill>
    </dxf>
  </dxfs>
  <tableStyles count="1" defaultTableStyle="TableStyleMedium2" defaultPivotStyle="PivotStyleMedium9">
    <tableStyle name="CustomTableStyle" pivot="0" count="2">
      <tableStyleElement type="headerRow" dxfId="1"/>
      <tableStyleElement type="firstRowStripe" dxfId="0"/>
    </tableStyle>
  </tableStyles>
  <colors>
    <mruColors>
      <color rgb="FFFF99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Ludność</a:t>
            </a:r>
            <a:endParaRPr lang="en-US"/>
          </a:p>
        </c:rich>
      </c:tx>
      <c:layout>
        <c:manualLayout>
          <c:xMode val="edge"/>
          <c:yMode val="edge"/>
          <c:x val="0.26367733906295859"/>
          <c:y val="3.46820809248554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8.6126556944716687E-2"/>
                  <c:y val="-0.4542169223066769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l-PL"/>
                </a:p>
              </c:txPr>
            </c:trendlineLbl>
          </c:trendline>
          <c:cat>
            <c:multiLvlStrRef>
              <c:f>'Prognozy ogólne'!$A$2:$F$3</c:f>
              <c:multiLvlStrCache>
                <c:ptCount val="6"/>
                <c:lvl>
                  <c:pt idx="0">
                    <c:v>11708</c:v>
                  </c:pt>
                  <c:pt idx="1">
                    <c:v>11696</c:v>
                  </c:pt>
                  <c:pt idx="2">
                    <c:v>11684</c:v>
                  </c:pt>
                  <c:pt idx="3">
                    <c:v>11694</c:v>
                  </c:pt>
                  <c:pt idx="4">
                    <c:v>11652</c:v>
                  </c:pt>
                  <c:pt idx="5">
                    <c:v>11623</c:v>
                  </c:pt>
                </c:lvl>
                <c:lvl>
                  <c:pt idx="0">
                    <c:v>2015</c:v>
                  </c:pt>
                  <c:pt idx="1">
                    <c:v>2016</c:v>
                  </c:pt>
                  <c:pt idx="2">
                    <c:v>2017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2020</c:v>
                  </c:pt>
                </c:lvl>
              </c:multiLvlStrCache>
            </c:multiLvlStrRef>
          </c:cat>
          <c:val>
            <c:numRef>
              <c:f>'Prognozy ogólne'!$A$3:$F$3</c:f>
              <c:numCache>
                <c:formatCode>0</c:formatCode>
                <c:ptCount val="6"/>
                <c:pt idx="0">
                  <c:v>11708</c:v>
                </c:pt>
                <c:pt idx="1">
                  <c:v>11696</c:v>
                </c:pt>
                <c:pt idx="2">
                  <c:v>11684</c:v>
                </c:pt>
                <c:pt idx="3">
                  <c:v>11694</c:v>
                </c:pt>
                <c:pt idx="4">
                  <c:v>11652</c:v>
                </c:pt>
                <c:pt idx="5">
                  <c:v>11623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152945664"/>
        <c:axId val="-1152946752"/>
      </c:barChart>
      <c:catAx>
        <c:axId val="-1152945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1152946752"/>
        <c:crosses val="autoZero"/>
        <c:auto val="1"/>
        <c:lblAlgn val="ctr"/>
        <c:lblOffset val="100"/>
        <c:noMultiLvlLbl val="0"/>
      </c:catAx>
      <c:valAx>
        <c:axId val="-1152946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115294566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Ludność-prognoza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'Prognozy ogólne'!$G$2:$P$2</c:f>
              <c:numCache>
                <c:formatCode>General</c:formatCode>
                <c:ptCount val="1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</c:numCache>
            </c:numRef>
          </c:cat>
          <c:val>
            <c:numRef>
              <c:f>'Prognozy ogólne'!$G$3:$P$3</c:f>
              <c:numCache>
                <c:formatCode>0</c:formatCode>
                <c:ptCount val="10"/>
                <c:pt idx="0">
                  <c:v>11588</c:v>
                </c:pt>
                <c:pt idx="1">
                  <c:v>11472.12</c:v>
                </c:pt>
                <c:pt idx="2">
                  <c:v>11414.759400000001</c:v>
                </c:pt>
                <c:pt idx="3">
                  <c:v>11357.685603</c:v>
                </c:pt>
                <c:pt idx="4">
                  <c:v>11300.897174985001</c:v>
                </c:pt>
                <c:pt idx="5">
                  <c:v>11244.392689110076</c:v>
                </c:pt>
                <c:pt idx="6">
                  <c:v>11188.170725664526</c:v>
                </c:pt>
                <c:pt idx="7">
                  <c:v>11132.229872036203</c:v>
                </c:pt>
                <c:pt idx="8">
                  <c:v>11076.568722676022</c:v>
                </c:pt>
                <c:pt idx="9">
                  <c:v>11021.185879062641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93520272"/>
        <c:axId val="-493521360"/>
      </c:barChart>
      <c:catAx>
        <c:axId val="-49352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493521360"/>
        <c:crosses val="autoZero"/>
        <c:auto val="1"/>
        <c:lblAlgn val="ctr"/>
        <c:lblOffset val="100"/>
        <c:noMultiLvlLbl val="0"/>
      </c:catAx>
      <c:valAx>
        <c:axId val="-493521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4935202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Powierzchnia mieszkań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'Prognozy ogólne'!$A$33:$F$33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'Prognozy ogólne'!$A$34:$F$34</c:f>
              <c:numCache>
                <c:formatCode>#,##0</c:formatCode>
                <c:ptCount val="6"/>
                <c:pt idx="0">
                  <c:v>293259</c:v>
                </c:pt>
                <c:pt idx="1">
                  <c:v>298644</c:v>
                </c:pt>
                <c:pt idx="2">
                  <c:v>304254</c:v>
                </c:pt>
                <c:pt idx="3">
                  <c:v>309061</c:v>
                </c:pt>
                <c:pt idx="4">
                  <c:v>314270</c:v>
                </c:pt>
                <c:pt idx="5">
                  <c:v>317339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93519728"/>
        <c:axId val="-493516464"/>
      </c:barChart>
      <c:catAx>
        <c:axId val="-493519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493516464"/>
        <c:crosses val="autoZero"/>
        <c:auto val="1"/>
        <c:lblAlgn val="ctr"/>
        <c:lblOffset val="100"/>
        <c:noMultiLvlLbl val="0"/>
      </c:catAx>
      <c:valAx>
        <c:axId val="-493516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49351972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Powierzchnia mieszkań-</a:t>
            </a:r>
            <a:r>
              <a:rPr lang="pl-PL" baseline="0"/>
              <a:t> prognoza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'Prognozy ogólne'!$G$33:$P$33</c:f>
              <c:numCache>
                <c:formatCode>General</c:formatCode>
                <c:ptCount val="1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</c:numCache>
            </c:numRef>
          </c:cat>
          <c:val>
            <c:numRef>
              <c:f>'Prognozy ogólne'!$G$34:$P$34</c:f>
              <c:numCache>
                <c:formatCode>#,##0</c:formatCode>
                <c:ptCount val="10"/>
                <c:pt idx="0">
                  <c:v>318132.34749999997</c:v>
                </c:pt>
                <c:pt idx="1">
                  <c:v>318927.67836874997</c:v>
                </c:pt>
                <c:pt idx="2">
                  <c:v>319724.99756467185</c:v>
                </c:pt>
                <c:pt idx="3">
                  <c:v>320524.31005858351</c:v>
                </c:pt>
                <c:pt idx="4">
                  <c:v>321325.62083372998</c:v>
                </c:pt>
                <c:pt idx="5">
                  <c:v>322128.93488581426</c:v>
                </c:pt>
                <c:pt idx="6">
                  <c:v>322934.25722302881</c:v>
                </c:pt>
                <c:pt idx="7">
                  <c:v>323741.59286608634</c:v>
                </c:pt>
                <c:pt idx="8">
                  <c:v>324550.94684825157</c:v>
                </c:pt>
                <c:pt idx="9">
                  <c:v>325362.32421537215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93521904"/>
        <c:axId val="-1634130224"/>
      </c:barChart>
      <c:catAx>
        <c:axId val="-493521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1634130224"/>
        <c:crosses val="autoZero"/>
        <c:auto val="1"/>
        <c:lblAlgn val="ctr"/>
        <c:lblOffset val="100"/>
        <c:noMultiLvlLbl val="0"/>
      </c:catAx>
      <c:valAx>
        <c:axId val="-1634130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4935219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Podmioty gospodarki narodowej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'Prognozy ogólne'!$A$64:$F$64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'Prognozy ogólne'!$A$65:$F$65</c:f>
              <c:numCache>
                <c:formatCode>0</c:formatCode>
                <c:ptCount val="6"/>
                <c:pt idx="0">
                  <c:v>622</c:v>
                </c:pt>
                <c:pt idx="1">
                  <c:v>626</c:v>
                </c:pt>
                <c:pt idx="2">
                  <c:v>624</c:v>
                </c:pt>
                <c:pt idx="3">
                  <c:v>673</c:v>
                </c:pt>
                <c:pt idx="4">
                  <c:v>726</c:v>
                </c:pt>
                <c:pt idx="5">
                  <c:v>764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634128048"/>
        <c:axId val="-1634127504"/>
      </c:barChart>
      <c:catAx>
        <c:axId val="-163412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1634127504"/>
        <c:crosses val="autoZero"/>
        <c:auto val="1"/>
        <c:lblAlgn val="ctr"/>
        <c:lblOffset val="100"/>
        <c:noMultiLvlLbl val="0"/>
      </c:catAx>
      <c:valAx>
        <c:axId val="-163412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163412804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Podmioty gospodarki narodowej- prognoza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'Prognozy ogólne'!$G$64:$P$64</c:f>
              <c:numCache>
                <c:formatCode>General</c:formatCode>
                <c:ptCount val="1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</c:numCache>
            </c:numRef>
          </c:cat>
          <c:val>
            <c:numRef>
              <c:f>'Prognozy ogólne'!$G$65:$P$65</c:f>
              <c:numCache>
                <c:formatCode>0</c:formatCode>
                <c:ptCount val="10"/>
                <c:pt idx="0">
                  <c:v>792</c:v>
                </c:pt>
                <c:pt idx="1">
                  <c:v>811.8</c:v>
                </c:pt>
                <c:pt idx="2">
                  <c:v>832.09499999999991</c:v>
                </c:pt>
                <c:pt idx="3">
                  <c:v>852.89737499999978</c:v>
                </c:pt>
                <c:pt idx="4">
                  <c:v>874.21980937499973</c:v>
                </c:pt>
                <c:pt idx="5">
                  <c:v>896.0753046093746</c:v>
                </c:pt>
                <c:pt idx="6">
                  <c:v>918.47718722460888</c:v>
                </c:pt>
                <c:pt idx="7">
                  <c:v>941.43911690522407</c:v>
                </c:pt>
                <c:pt idx="8">
                  <c:v>964.9750948278546</c:v>
                </c:pt>
                <c:pt idx="9">
                  <c:v>989.09947219855087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634131312"/>
        <c:axId val="-1634130768"/>
      </c:barChart>
      <c:catAx>
        <c:axId val="-163413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1634130768"/>
        <c:crosses val="autoZero"/>
        <c:auto val="1"/>
        <c:lblAlgn val="ctr"/>
        <c:lblOffset val="100"/>
        <c:noMultiLvlLbl val="0"/>
      </c:catAx>
      <c:valAx>
        <c:axId val="-1634130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16341313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9.4863188976377952E-2"/>
                  <c:y val="-8.839895013123368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9786089238845143E-2"/>
                  <c:y val="6.816418780985714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0397637795275589E-2"/>
                  <c:y val="-5.074438611840186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7388451443569554E-2"/>
                  <c:y val="-1.806831437736949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7819225721784775E-2"/>
                  <c:y val="-1.23552785068533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Arkusz3!$A$14:$A$18</c:f>
              <c:strCache>
                <c:ptCount val="5"/>
                <c:pt idx="0">
                  <c:v>Węgiel kamienny</c:v>
                </c:pt>
                <c:pt idx="1">
                  <c:v>Gaz ziemny</c:v>
                </c:pt>
                <c:pt idx="2">
                  <c:v>Olej opałowy</c:v>
                </c:pt>
                <c:pt idx="3">
                  <c:v>Drewno opałowe</c:v>
                </c:pt>
                <c:pt idx="4">
                  <c:v>OZE</c:v>
                </c:pt>
              </c:strCache>
            </c:strRef>
          </c:cat>
          <c:val>
            <c:numRef>
              <c:f>Arkusz3!$E$14:$E$18</c:f>
              <c:numCache>
                <c:formatCode>#,##0.00</c:formatCode>
                <c:ptCount val="5"/>
                <c:pt idx="0">
                  <c:v>44221.604938271608</c:v>
                </c:pt>
                <c:pt idx="1">
                  <c:v>2037.0441000000005</c:v>
                </c:pt>
                <c:pt idx="2">
                  <c:v>71.481481481481495</c:v>
                </c:pt>
                <c:pt idx="3">
                  <c:v>6654.0740740740748</c:v>
                </c:pt>
                <c:pt idx="4">
                  <c:v>2683.3333333333335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149412</xdr:colOff>
      <xdr:row>4</xdr:row>
      <xdr:rowOff>11289</xdr:rowOff>
    </xdr:from>
    <xdr:to>
      <xdr:col>11</xdr:col>
      <xdr:colOff>381000</xdr:colOff>
      <xdr:row>15</xdr:row>
      <xdr:rowOff>134470</xdr:rowOff>
    </xdr:to>
    <xdr:graphicFrame macro="">
      <xdr:nvGraphicFramePr>
        <xdr:cNvPr id="11" name="Wykres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172862</xdr:colOff>
      <xdr:row>16</xdr:row>
      <xdr:rowOff>7054</xdr:rowOff>
    </xdr:from>
    <xdr:to>
      <xdr:col>11</xdr:col>
      <xdr:colOff>373945</xdr:colOff>
      <xdr:row>29</xdr:row>
      <xdr:rowOff>7055</xdr:rowOff>
    </xdr:to>
    <xdr:graphicFrame macro="">
      <xdr:nvGraphicFramePr>
        <xdr:cNvPr id="12" name="Wykres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82176</xdr:colOff>
      <xdr:row>36</xdr:row>
      <xdr:rowOff>119529</xdr:rowOff>
    </xdr:from>
    <xdr:to>
      <xdr:col>6</xdr:col>
      <xdr:colOff>380999</xdr:colOff>
      <xdr:row>48</xdr:row>
      <xdr:rowOff>149826</xdr:rowOff>
    </xdr:to>
    <xdr:graphicFrame macro="">
      <xdr:nvGraphicFramePr>
        <xdr:cNvPr id="13" name="Wykres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59764</xdr:colOff>
      <xdr:row>36</xdr:row>
      <xdr:rowOff>119529</xdr:rowOff>
    </xdr:from>
    <xdr:to>
      <xdr:col>15</xdr:col>
      <xdr:colOff>341572</xdr:colOff>
      <xdr:row>48</xdr:row>
      <xdr:rowOff>149412</xdr:rowOff>
    </xdr:to>
    <xdr:graphicFrame macro="">
      <xdr:nvGraphicFramePr>
        <xdr:cNvPr id="14" name="Wykres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65</xdr:row>
      <xdr:rowOff>100105</xdr:rowOff>
    </xdr:from>
    <xdr:to>
      <xdr:col>6</xdr:col>
      <xdr:colOff>410882</xdr:colOff>
      <xdr:row>77</xdr:row>
      <xdr:rowOff>67236</xdr:rowOff>
    </xdr:to>
    <xdr:graphicFrame macro="">
      <xdr:nvGraphicFramePr>
        <xdr:cNvPr id="15" name="Wykres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74704</xdr:colOff>
      <xdr:row>65</xdr:row>
      <xdr:rowOff>93051</xdr:rowOff>
    </xdr:from>
    <xdr:to>
      <xdr:col>15</xdr:col>
      <xdr:colOff>370416</xdr:colOff>
      <xdr:row>77</xdr:row>
      <xdr:rowOff>74706</xdr:rowOff>
    </xdr:to>
    <xdr:graphicFrame macro="">
      <xdr:nvGraphicFramePr>
        <xdr:cNvPr id="16" name="Wykres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899585</xdr:colOff>
      <xdr:row>33</xdr:row>
      <xdr:rowOff>42332</xdr:rowOff>
    </xdr:from>
    <xdr:to>
      <xdr:col>19</xdr:col>
      <xdr:colOff>296336</xdr:colOff>
      <xdr:row>59</xdr:row>
      <xdr:rowOff>12699</xdr:rowOff>
    </xdr:to>
    <xdr:pic>
      <xdr:nvPicPr>
        <xdr:cNvPr id="2" name="Obraz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4762" t="34756" r="13516" b="21808"/>
        <a:stretch/>
      </xdr:blipFill>
      <xdr:spPr>
        <a:xfrm>
          <a:off x="9514418" y="6095999"/>
          <a:ext cx="9461501" cy="464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</xdr:row>
      <xdr:rowOff>169334</xdr:rowOff>
    </xdr:from>
    <xdr:to>
      <xdr:col>7</xdr:col>
      <xdr:colOff>770467</xdr:colOff>
      <xdr:row>55</xdr:row>
      <xdr:rowOff>69851</xdr:rowOff>
    </xdr:to>
    <xdr:pic>
      <xdr:nvPicPr>
        <xdr:cNvPr id="3" name="Obraz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5143" t="36200" r="13531" b="24512"/>
        <a:stretch/>
      </xdr:blipFill>
      <xdr:spPr>
        <a:xfrm>
          <a:off x="0" y="6043084"/>
          <a:ext cx="9385300" cy="4038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53975</xdr:colOff>
      <xdr:row>4</xdr:row>
      <xdr:rowOff>3175</xdr:rowOff>
    </xdr:from>
    <xdr:to>
      <xdr:col>13</xdr:col>
      <xdr:colOff>358775</xdr:colOff>
      <xdr:row>18</xdr:row>
      <xdr:rowOff>123825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380999</xdr:colOff>
      <xdr:row>2</xdr:row>
      <xdr:rowOff>38100</xdr:rowOff>
    </xdr:from>
    <xdr:to>
      <xdr:col>20</xdr:col>
      <xdr:colOff>114300</xdr:colOff>
      <xdr:row>18</xdr:row>
      <xdr:rowOff>152400</xdr:rowOff>
    </xdr:to>
    <xdr:pic>
      <xdr:nvPicPr>
        <xdr:cNvPr id="2" name="Obraz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4762" t="34756" r="13516" b="21808"/>
        <a:stretch/>
      </xdr:blipFill>
      <xdr:spPr>
        <a:xfrm>
          <a:off x="9969499" y="393700"/>
          <a:ext cx="9461501" cy="4648200"/>
        </a:xfrm>
        <a:prstGeom prst="rect">
          <a:avLst/>
        </a:prstGeom>
      </xdr:spPr>
    </xdr:pic>
    <xdr:clientData/>
  </xdr:twoCellAnchor>
  <xdr:twoCellAnchor editAs="oneCell">
    <xdr:from>
      <xdr:col>8</xdr:col>
      <xdr:colOff>406400</xdr:colOff>
      <xdr:row>20</xdr:row>
      <xdr:rowOff>25400</xdr:rowOff>
    </xdr:from>
    <xdr:to>
      <xdr:col>20</xdr:col>
      <xdr:colOff>63500</xdr:colOff>
      <xdr:row>41</xdr:row>
      <xdr:rowOff>63500</xdr:rowOff>
    </xdr:to>
    <xdr:pic>
      <xdr:nvPicPr>
        <xdr:cNvPr id="3" name="Obraz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5143" t="36200" r="13531" b="24512"/>
        <a:stretch/>
      </xdr:blipFill>
      <xdr:spPr>
        <a:xfrm>
          <a:off x="9994900" y="5295900"/>
          <a:ext cx="9385300" cy="4038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W46"/>
  <sheetViews>
    <sheetView view="pageBreakPreview" zoomScale="50" zoomScaleNormal="100" zoomScaleSheetLayoutView="50" workbookViewId="0">
      <selection activeCell="B4" sqref="B4:J9"/>
    </sheetView>
  </sheetViews>
  <sheetFormatPr defaultColWidth="9.08984375" defaultRowHeight="14"/>
  <cols>
    <col min="1" max="1" width="3.90625" style="1" customWidth="1"/>
    <col min="2" max="2" width="5.453125" style="1" customWidth="1"/>
    <col min="3" max="3" width="21.36328125" style="6" customWidth="1"/>
    <col min="4" max="4" width="2.90625" style="1" customWidth="1"/>
    <col min="5" max="8" width="9.08984375" style="1"/>
    <col min="9" max="9" width="3.54296875" style="1" customWidth="1"/>
    <col min="10" max="10" width="8" style="1" customWidth="1"/>
    <col min="11" max="11" width="4.90625" style="1" customWidth="1"/>
    <col min="12" max="16384" width="9.08984375" style="1"/>
  </cols>
  <sheetData>
    <row r="4" spans="1:13">
      <c r="B4" s="286" t="s">
        <v>190</v>
      </c>
      <c r="C4" s="286"/>
      <c r="D4" s="286"/>
      <c r="E4" s="286"/>
      <c r="F4" s="286"/>
      <c r="G4" s="286"/>
      <c r="H4" s="286"/>
      <c r="I4" s="286"/>
      <c r="J4" s="286"/>
    </row>
    <row r="5" spans="1:13">
      <c r="B5" s="286"/>
      <c r="C5" s="286"/>
      <c r="D5" s="286"/>
      <c r="E5" s="286"/>
      <c r="F5" s="286"/>
      <c r="G5" s="286"/>
      <c r="H5" s="286"/>
      <c r="I5" s="286"/>
      <c r="J5" s="286"/>
    </row>
    <row r="6" spans="1:13" ht="7.5" customHeight="1">
      <c r="B6" s="286"/>
      <c r="C6" s="286"/>
      <c r="D6" s="286"/>
      <c r="E6" s="286"/>
      <c r="F6" s="286"/>
      <c r="G6" s="286"/>
      <c r="H6" s="286"/>
      <c r="I6" s="286"/>
      <c r="J6" s="286"/>
    </row>
    <row r="7" spans="1:13">
      <c r="B7" s="286"/>
      <c r="C7" s="286"/>
      <c r="D7" s="286"/>
      <c r="E7" s="286"/>
      <c r="F7" s="286"/>
      <c r="G7" s="286"/>
      <c r="H7" s="286"/>
      <c r="I7" s="286"/>
      <c r="J7" s="286"/>
    </row>
    <row r="8" spans="1:13">
      <c r="B8" s="286"/>
      <c r="C8" s="286"/>
      <c r="D8" s="286"/>
      <c r="E8" s="286"/>
      <c r="F8" s="286"/>
      <c r="G8" s="286"/>
      <c r="H8" s="286"/>
      <c r="I8" s="286"/>
      <c r="J8" s="286"/>
      <c r="K8" s="2"/>
    </row>
    <row r="9" spans="1:13" ht="25.5" customHeight="1">
      <c r="B9" s="286"/>
      <c r="C9" s="286"/>
      <c r="D9" s="286"/>
      <c r="E9" s="286"/>
      <c r="F9" s="286"/>
      <c r="G9" s="286"/>
      <c r="H9" s="286"/>
      <c r="I9" s="286"/>
      <c r="J9" s="286"/>
      <c r="K9" s="3"/>
      <c r="M9" s="4"/>
    </row>
    <row r="10" spans="1:13" ht="4.5" customHeight="1">
      <c r="B10" s="198"/>
      <c r="C10" s="199"/>
      <c r="D10" s="198"/>
      <c r="E10" s="198"/>
      <c r="F10" s="198"/>
      <c r="G10" s="198"/>
      <c r="H10" s="198"/>
      <c r="I10" s="198"/>
      <c r="J10" s="198"/>
      <c r="K10" s="2"/>
      <c r="M10" s="4"/>
    </row>
    <row r="11" spans="1:13" ht="17.25" customHeight="1">
      <c r="B11" s="287" t="s">
        <v>39</v>
      </c>
      <c r="C11" s="287"/>
      <c r="D11" s="287"/>
      <c r="E11" s="287"/>
      <c r="F11" s="287"/>
      <c r="G11" s="287"/>
      <c r="H11" s="287"/>
      <c r="I11" s="287"/>
      <c r="J11" s="287"/>
      <c r="K11" s="5"/>
    </row>
    <row r="12" spans="1:13" ht="6" customHeight="1">
      <c r="B12" s="198"/>
      <c r="C12" s="199"/>
      <c r="D12" s="198"/>
      <c r="E12" s="198"/>
      <c r="F12" s="198"/>
      <c r="G12" s="198"/>
      <c r="H12" s="198"/>
      <c r="I12" s="198"/>
      <c r="J12" s="198"/>
    </row>
    <row r="13" spans="1:13" ht="19.5" customHeight="1"/>
    <row r="14" spans="1:13" ht="25.5" customHeight="1"/>
    <row r="15" spans="1:13" ht="23.25" customHeight="1">
      <c r="A15" s="288"/>
      <c r="B15" s="288"/>
      <c r="C15" s="288"/>
      <c r="D15" s="288"/>
      <c r="E15" s="288"/>
      <c r="F15" s="288"/>
      <c r="G15" s="288"/>
      <c r="H15" s="288"/>
      <c r="I15" s="288"/>
      <c r="J15" s="288"/>
      <c r="M15" s="4"/>
    </row>
    <row r="17" spans="2:23" ht="21.75" customHeight="1">
      <c r="B17" s="289"/>
      <c r="C17" s="290"/>
      <c r="D17" s="290"/>
      <c r="E17" s="290"/>
      <c r="F17" s="290"/>
      <c r="G17" s="290"/>
      <c r="H17" s="290"/>
      <c r="I17" s="290"/>
      <c r="J17" s="290"/>
    </row>
    <row r="18" spans="2:23" ht="30" customHeight="1">
      <c r="B18" s="290"/>
      <c r="C18" s="290"/>
      <c r="D18" s="290"/>
      <c r="E18" s="290"/>
      <c r="F18" s="290"/>
      <c r="G18" s="290"/>
      <c r="H18" s="290"/>
      <c r="I18" s="290"/>
      <c r="J18" s="290"/>
    </row>
    <row r="19" spans="2:23" ht="35.25" customHeight="1">
      <c r="B19" s="290"/>
      <c r="C19" s="290"/>
      <c r="D19" s="290"/>
      <c r="E19" s="290"/>
      <c r="F19" s="290"/>
      <c r="G19" s="290"/>
      <c r="H19" s="290"/>
      <c r="I19" s="290"/>
      <c r="J19" s="290"/>
      <c r="P19"/>
      <c r="W19"/>
    </row>
    <row r="20" spans="2:23" ht="40.5" customHeight="1">
      <c r="B20" s="290"/>
      <c r="C20" s="290"/>
      <c r="D20" s="290"/>
      <c r="E20" s="290"/>
      <c r="F20" s="290"/>
      <c r="G20" s="290"/>
      <c r="H20" s="290"/>
      <c r="I20" s="290"/>
      <c r="J20" s="290"/>
    </row>
    <row r="21" spans="2:23" ht="21" customHeight="1">
      <c r="B21" s="290"/>
      <c r="C21" s="290"/>
      <c r="D21" s="290"/>
      <c r="E21" s="290"/>
      <c r="F21" s="290"/>
      <c r="G21" s="290"/>
      <c r="H21" s="290"/>
      <c r="I21" s="290"/>
      <c r="J21" s="290"/>
    </row>
    <row r="22" spans="2:23" ht="31.5" customHeight="1">
      <c r="B22" s="290"/>
      <c r="C22" s="290"/>
      <c r="D22" s="290"/>
      <c r="E22" s="290"/>
      <c r="F22" s="290"/>
      <c r="G22" s="290"/>
      <c r="H22" s="290"/>
      <c r="I22" s="290"/>
      <c r="J22" s="290"/>
    </row>
    <row r="23" spans="2:23">
      <c r="B23" s="290"/>
      <c r="C23" s="290"/>
      <c r="D23" s="290"/>
      <c r="E23" s="290"/>
      <c r="F23" s="290"/>
      <c r="G23" s="290"/>
      <c r="H23" s="290"/>
      <c r="I23" s="290"/>
      <c r="J23" s="290"/>
    </row>
    <row r="24" spans="2:23">
      <c r="B24" s="290"/>
      <c r="C24" s="290"/>
      <c r="D24" s="290"/>
      <c r="E24" s="290"/>
      <c r="F24" s="290"/>
      <c r="G24" s="290"/>
      <c r="H24" s="290"/>
      <c r="I24" s="290"/>
      <c r="J24" s="290"/>
    </row>
    <row r="25" spans="2:23" ht="15" customHeight="1"/>
    <row r="26" spans="2:23" ht="8.25" customHeight="1">
      <c r="F26" s="291"/>
      <c r="G26" s="291"/>
      <c r="H26" s="291"/>
    </row>
    <row r="27" spans="2:23" ht="5.25" hidden="1" customHeight="1"/>
    <row r="28" spans="2:23" hidden="1">
      <c r="F28" s="292"/>
      <c r="G28" s="292"/>
      <c r="H28" s="292"/>
    </row>
    <row r="29" spans="2:23" ht="12" customHeight="1">
      <c r="B29" s="7"/>
    </row>
    <row r="37" spans="2:10" ht="6.75" customHeight="1"/>
    <row r="38" spans="2:10" hidden="1"/>
    <row r="39" spans="2:10" hidden="1"/>
    <row r="40" spans="2:10" ht="8.25" hidden="1" customHeight="1"/>
    <row r="41" spans="2:10" ht="36" hidden="1" customHeight="1">
      <c r="B41" s="284"/>
      <c r="C41" s="285"/>
      <c r="D41" s="285"/>
      <c r="E41" s="285"/>
      <c r="F41" s="285"/>
      <c r="G41" s="285"/>
      <c r="H41" s="285"/>
      <c r="I41" s="285"/>
      <c r="J41" s="285"/>
    </row>
    <row r="42" spans="2:10" ht="31.5" hidden="1" customHeight="1">
      <c r="B42" s="284"/>
      <c r="C42" s="285"/>
      <c r="D42" s="285"/>
      <c r="E42" s="285"/>
      <c r="F42" s="285"/>
      <c r="G42" s="285"/>
      <c r="H42" s="285"/>
      <c r="I42" s="285"/>
      <c r="J42" s="285"/>
    </row>
    <row r="43" spans="2:10" ht="9.75" customHeight="1">
      <c r="B43" s="284"/>
      <c r="C43" s="284"/>
      <c r="D43" s="284"/>
      <c r="E43" s="284"/>
      <c r="F43" s="284"/>
      <c r="G43" s="284"/>
      <c r="H43" s="284"/>
      <c r="I43" s="284"/>
      <c r="J43" s="284"/>
    </row>
    <row r="44" spans="2:10" ht="30" customHeight="1">
      <c r="B44" s="284"/>
      <c r="C44" s="284"/>
      <c r="D44" s="284"/>
      <c r="E44" s="284"/>
      <c r="F44" s="284"/>
      <c r="G44" s="284"/>
      <c r="H44" s="284"/>
      <c r="I44" s="284"/>
      <c r="J44" s="284"/>
    </row>
    <row r="45" spans="2:10" ht="70.5" customHeight="1"/>
    <row r="46" spans="2:10" ht="50.25" customHeight="1"/>
  </sheetData>
  <mergeCells count="9">
    <mergeCell ref="B41:J41"/>
    <mergeCell ref="B42:J42"/>
    <mergeCell ref="B43:J44"/>
    <mergeCell ref="B4:J9"/>
    <mergeCell ref="B11:J11"/>
    <mergeCell ref="A15:J15"/>
    <mergeCell ref="B17:J24"/>
    <mergeCell ref="F26:H26"/>
    <mergeCell ref="F28:H28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 differentFirst="1">
    <oddFooter>Strona &amp;P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view="pageBreakPreview" topLeftCell="A15" zoomScale="70" zoomScaleNormal="100" zoomScaleSheetLayoutView="70" workbookViewId="0">
      <selection activeCell="B14" sqref="B14:C19"/>
    </sheetView>
  </sheetViews>
  <sheetFormatPr defaultRowHeight="14.5"/>
  <cols>
    <col min="1" max="1" width="23.36328125" style="9" customWidth="1"/>
    <col min="2" max="2" width="27" style="9" customWidth="1"/>
    <col min="3" max="3" width="29.6328125" style="9" customWidth="1"/>
    <col min="4" max="5" width="8.7265625" style="75"/>
  </cols>
  <sheetData>
    <row r="1" spans="1:3">
      <c r="A1" s="53" t="s">
        <v>323</v>
      </c>
    </row>
    <row r="2" spans="1:3">
      <c r="A2" s="324" t="s">
        <v>324</v>
      </c>
      <c r="B2" s="324"/>
      <c r="C2" s="324"/>
    </row>
    <row r="3" spans="1:3" ht="15">
      <c r="A3" s="323" t="s">
        <v>26</v>
      </c>
      <c r="B3" s="175" t="s">
        <v>19</v>
      </c>
      <c r="C3" s="176" t="s">
        <v>185</v>
      </c>
    </row>
    <row r="4" spans="1:3">
      <c r="A4" s="323"/>
      <c r="B4" s="175" t="s">
        <v>21</v>
      </c>
      <c r="C4" s="176" t="s">
        <v>20</v>
      </c>
    </row>
    <row r="5" spans="1:3">
      <c r="A5" s="174" t="s">
        <v>27</v>
      </c>
      <c r="B5" s="92">
        <f>'SEKTORY I ŹRÓDŁA EMISJI '!B13</f>
        <v>1965.37</v>
      </c>
      <c r="C5" s="92">
        <f>'SEKTORY I ŹRÓDŁA EMISJI '!C13</f>
        <v>574.51048000000003</v>
      </c>
    </row>
    <row r="6" spans="1:3">
      <c r="A6" s="171" t="s">
        <v>28</v>
      </c>
      <c r="B6" s="92">
        <f>'SEKTORY I ŹRÓDŁA EMISJI '!D13</f>
        <v>86755.459999999992</v>
      </c>
      <c r="C6" s="92">
        <f>'SEKTORY I ŹRÓDŁA EMISJI '!E13</f>
        <v>15460.69291</v>
      </c>
    </row>
    <row r="7" spans="1:3">
      <c r="A7" s="171" t="s">
        <v>29</v>
      </c>
      <c r="B7" s="92">
        <f>'SEKTORY I ŹRÓDŁA EMISJI '!J13</f>
        <v>17108.849999999999</v>
      </c>
      <c r="C7" s="92">
        <f>'SEKTORY I ŹRÓDŁA EMISJI '!K13</f>
        <v>4259.50486</v>
      </c>
    </row>
    <row r="8" spans="1:3">
      <c r="A8" s="171" t="s">
        <v>170</v>
      </c>
      <c r="B8" s="92">
        <f>'SEKTORY I ŹRÓDŁA EMISJI '!F13</f>
        <v>3890.34</v>
      </c>
      <c r="C8" s="92">
        <f>'SEKTORY I ŹRÓDŁA EMISJI '!G13</f>
        <v>1434.4318600000001</v>
      </c>
    </row>
    <row r="9" spans="1:3">
      <c r="A9" s="171" t="s">
        <v>148</v>
      </c>
      <c r="B9" s="92">
        <f>'SEKTORY I ŹRÓDŁA EMISJI '!H9</f>
        <v>378.98</v>
      </c>
      <c r="C9" s="92">
        <f>'SEKTORY I ŹRÓDŁA EMISJI '!I9</f>
        <v>307.73176000000001</v>
      </c>
    </row>
    <row r="10" spans="1:3">
      <c r="A10" s="171" t="s">
        <v>0</v>
      </c>
      <c r="B10" s="93">
        <f>SUM(B5:B9)</f>
        <v>110098.99999999999</v>
      </c>
      <c r="C10" s="93">
        <f>SUM(C5:C9)</f>
        <v>22036.871869999999</v>
      </c>
    </row>
    <row r="11" spans="1:3">
      <c r="A11" s="324" t="s">
        <v>91</v>
      </c>
      <c r="B11" s="324"/>
      <c r="C11" s="324"/>
    </row>
    <row r="12" spans="1:3" ht="15">
      <c r="A12" s="323" t="s">
        <v>26</v>
      </c>
      <c r="B12" s="175" t="s">
        <v>19</v>
      </c>
      <c r="C12" s="176" t="s">
        <v>185</v>
      </c>
    </row>
    <row r="13" spans="1:3">
      <c r="A13" s="323"/>
      <c r="B13" s="175" t="s">
        <v>21</v>
      </c>
      <c r="C13" s="176" t="s">
        <v>20</v>
      </c>
    </row>
    <row r="14" spans="1:3">
      <c r="A14" s="174" t="s">
        <v>27</v>
      </c>
      <c r="B14" s="92">
        <f>'SEKTORY I ŹRÓDŁA EMISJI '!B25</f>
        <v>3347.1790000000001</v>
      </c>
      <c r="C14" s="92">
        <f>'SEKTORY I ŹRÓDŁA EMISJI '!C25</f>
        <v>1246.0105950000002</v>
      </c>
    </row>
    <row r="15" spans="1:3">
      <c r="A15" s="171" t="s">
        <v>28</v>
      </c>
      <c r="B15" s="92">
        <f>'SEKTORY I ŹRÓDŁA EMISJI '!D25</f>
        <v>95464.040185316844</v>
      </c>
      <c r="C15" s="92">
        <f>'SEKTORY I ŹRÓDŁA EMISJI '!E25</f>
        <v>14847.182959656937</v>
      </c>
    </row>
    <row r="16" spans="1:3">
      <c r="A16" s="171" t="s">
        <v>29</v>
      </c>
      <c r="B16" s="92">
        <f>'SEKTORY I ŹRÓDŁA EMISJI '!J25</f>
        <v>19266.25979966611</v>
      </c>
      <c r="C16" s="92">
        <f>'SEKTORY I ŹRÓDŁA EMISJI '!K25</f>
        <v>4872.4036525631609</v>
      </c>
    </row>
    <row r="17" spans="1:3">
      <c r="A17" s="171" t="s">
        <v>170</v>
      </c>
      <c r="B17" s="92">
        <f>'SEKTORY I ŹRÓDŁA EMISJI '!F25</f>
        <v>6647.8422726322351</v>
      </c>
      <c r="C17" s="92">
        <f>'SEKTORY I ŹRÓDŁA EMISJI '!G25</f>
        <v>1762.4905196007878</v>
      </c>
    </row>
    <row r="18" spans="1:3">
      <c r="A18" s="171" t="s">
        <v>148</v>
      </c>
      <c r="B18" s="92">
        <f>'SEKTORY I ŹRÓDŁA EMISJI '!H25</f>
        <v>158.61000000000001</v>
      </c>
      <c r="C18" s="92">
        <f>'SEKTORY I ŹRÓDŁA EMISJI '!I25</f>
        <v>128.79132000000001</v>
      </c>
    </row>
    <row r="19" spans="1:3">
      <c r="A19" s="171" t="s">
        <v>0</v>
      </c>
      <c r="B19" s="93">
        <f>SUM(B14:B18)</f>
        <v>124883.93125761519</v>
      </c>
      <c r="C19" s="93">
        <f>SUM(C14:C18)</f>
        <v>22856.879046820886</v>
      </c>
    </row>
    <row r="21" spans="1:3" ht="20" customHeight="1">
      <c r="A21" s="53" t="str">
        <f>A2</f>
        <v>2014 rok:</v>
      </c>
    </row>
    <row r="22" spans="1:3" ht="15">
      <c r="A22" s="323" t="s">
        <v>24</v>
      </c>
      <c r="B22" s="175" t="s">
        <v>19</v>
      </c>
      <c r="C22" s="175" t="s">
        <v>185</v>
      </c>
    </row>
    <row r="23" spans="1:3">
      <c r="A23" s="323"/>
      <c r="B23" s="175" t="s">
        <v>21</v>
      </c>
      <c r="C23" s="175" t="s">
        <v>20</v>
      </c>
    </row>
    <row r="24" spans="1:3">
      <c r="A24" s="177" t="s">
        <v>5</v>
      </c>
      <c r="B24" s="92">
        <f>'SEKTORY I ŹRÓDŁA EMISJI '!B5+'SEKTORY I ŹRÓDŁA EMISJI '!D5+'SEKTORY I ŹRÓDŁA EMISJI '!F5+'SEKTORY I ŹRÓDŁA EMISJI '!H5+'SEKTORY I ŹRÓDŁA EMISJI '!J5</f>
        <v>24807.93</v>
      </c>
      <c r="C24" s="92">
        <f>'SEKTORY I ŹRÓDŁA EMISJI '!C5+'SEKTORY I ŹRÓDŁA EMISJI '!E5+'SEKTORY I ŹRÓDŁA EMISJI '!G5+'SEKTORY I ŹRÓDŁA EMISJI '!I5+'SEKTORY I ŹRÓDŁA EMISJI '!K5</f>
        <v>8285.8486200000007</v>
      </c>
    </row>
    <row r="25" spans="1:3">
      <c r="A25" s="178" t="s">
        <v>9</v>
      </c>
      <c r="B25" s="92">
        <f>'SEKTORY I ŹRÓDŁA EMISJI '!B6+'SEKTORY I ŹRÓDŁA EMISJI '!D6+'SEKTORY I ŹRÓDŁA EMISJI '!F6+'SEKTORY I ŹRÓDŁA EMISJI '!H6+'SEKTORY I ŹRÓDŁA EMISJI '!J6</f>
        <v>8032.2999999999993</v>
      </c>
      <c r="C25" s="92">
        <f>'SEKTORY I ŹRÓDŁA EMISJI '!C6+'SEKTORY I ŹRÓDŁA EMISJI '!E6+'SEKTORY I ŹRÓDŁA EMISJI '!G6+'SEKTORY I ŹRÓDŁA EMISJI '!I6+'SEKTORY I ŹRÓDŁA EMISJI '!K6</f>
        <v>1614.4923000000001</v>
      </c>
    </row>
    <row r="26" spans="1:3">
      <c r="A26" s="178" t="s">
        <v>8</v>
      </c>
      <c r="B26" s="92">
        <f>'SEKTORY I ŹRÓDŁA EMISJI '!B7+'SEKTORY I ŹRÓDŁA EMISJI '!D7+'SEKTORY I ŹRÓDŁA EMISJI '!F7+'SEKTORY I ŹRÓDŁA EMISJI '!H7+'SEKTORY I ŹRÓDŁA EMISJI '!J7</f>
        <v>11.64</v>
      </c>
      <c r="C26" s="92">
        <f>'SEKTORY I ŹRÓDŁA EMISJI '!C7+'SEKTORY I ŹRÓDŁA EMISJI '!E7+'SEKTORY I ŹRÓDŁA EMISJI '!G7+'SEKTORY I ŹRÓDŁA EMISJI '!I7+'SEKTORY I ŹRÓDŁA EMISJI '!K7</f>
        <v>3.2126400000000004</v>
      </c>
    </row>
    <row r="27" spans="1:3">
      <c r="A27" s="178" t="str">
        <f>'SEKTORY I ŹRÓDŁA EMISJI '!A8</f>
        <v>OZE,  w tym biomasa</v>
      </c>
      <c r="B27" s="92">
        <f>'SEKTORY I ŹRÓDŁA EMISJI '!B8+'SEKTORY I ŹRÓDŁA EMISJI '!D8+'SEKTORY I ŹRÓDŁA EMISJI '!F8+'SEKTORY I ŹRÓDŁA EMISJI '!H8+'SEKTORY I ŹRÓDŁA EMISJI '!J8</f>
        <v>50107.62</v>
      </c>
      <c r="C27" s="92">
        <f>'SEKTORY I ŹRÓDŁA EMISJI '!C8+'SEKTORY I ŹRÓDŁA EMISJI '!E8+'SEKTORY I ŹRÓDŁA EMISJI '!G8+'SEKTORY I ŹRÓDŁA EMISJI '!I8+'SEKTORY I ŹRÓDŁA EMISJI '!K8</f>
        <v>0</v>
      </c>
    </row>
    <row r="28" spans="1:3">
      <c r="A28" s="178" t="s">
        <v>14</v>
      </c>
      <c r="B28" s="92">
        <f>'SEKTORY I ŹRÓDŁA EMISJI '!B9+'SEKTORY I ŹRÓDŁA EMISJI '!D9+'SEKTORY I ŹRÓDŁA EMISJI '!F9+'SEKTORY I ŹRÓDŁA EMISJI '!H9+'SEKTORY I ŹRÓDŁA EMISJI '!J9</f>
        <v>9568.8499999999985</v>
      </c>
      <c r="C28" s="92">
        <f>'SEKTORY I ŹRÓDŁA EMISJI '!C9+'SEKTORY I ŹRÓDŁA EMISJI '!E9+'SEKTORY I ŹRÓDŁA EMISJI '!G9+'SEKTORY I ŹRÓDŁA EMISJI '!I9+'SEKTORY I ŹRÓDŁA EMISJI '!K9</f>
        <v>7769.9061999999994</v>
      </c>
    </row>
    <row r="29" spans="1:3">
      <c r="A29" s="178" t="s">
        <v>10</v>
      </c>
      <c r="B29" s="92">
        <f>'SEKTORY I ŹRÓDŁA EMISJI '!B10+'SEKTORY I ŹRÓDŁA EMISJI '!D10+'SEKTORY I ŹRÓDŁA EMISJI '!F10+'SEKTORY I ŹRÓDŁA EMISJI '!H10+'SEKTORY I ŹRÓDŁA EMISJI '!J10</f>
        <v>3520.61</v>
      </c>
      <c r="C29" s="92">
        <f>'SEKTORY I ŹRÓDŁA EMISJI '!C10+'SEKTORY I ŹRÓDŁA EMISJI '!E10+'SEKTORY I ŹRÓDŁA EMISJI '!G10+'SEKTORY I ŹRÓDŁA EMISJI '!I10+'SEKTORY I ŹRÓDŁA EMISJI '!K10</f>
        <v>792.13724999999999</v>
      </c>
    </row>
    <row r="30" spans="1:3">
      <c r="A30" s="178" t="s">
        <v>6</v>
      </c>
      <c r="B30" s="92">
        <f>'SEKTORY I ŹRÓDŁA EMISJI '!B11+'SEKTORY I ŹRÓDŁA EMISJI '!D11+'SEKTORY I ŹRÓDŁA EMISJI '!F11+'SEKTORY I ŹRÓDŁA EMISJI '!H11+'SEKTORY I ŹRÓDŁA EMISJI '!J11</f>
        <v>5936.03</v>
      </c>
      <c r="C30" s="92">
        <f>'SEKTORY I ŹRÓDŁA EMISJI '!C11+'SEKTORY I ŹRÓDŁA EMISJI '!E11+'SEKTORY I ŹRÓDŁA EMISJI '!G11+'SEKTORY I ŹRÓDŁA EMISJI '!I11+'SEKTORY I ŹRÓDŁA EMISJI '!K11</f>
        <v>1567.1119200000001</v>
      </c>
    </row>
    <row r="31" spans="1:3">
      <c r="A31" s="178" t="s">
        <v>25</v>
      </c>
      <c r="B31" s="92">
        <f>'SEKTORY I ŹRÓDŁA EMISJI '!B12+'SEKTORY I ŹRÓDŁA EMISJI '!D12+'SEKTORY I ŹRÓDŁA EMISJI '!F12+'SEKTORY I ŹRÓDŁA EMISJI '!H12+'SEKTORY I ŹRÓDŁA EMISJI '!J12</f>
        <v>8114.0199999999995</v>
      </c>
      <c r="C31" s="92">
        <f>'SEKTORY I ŹRÓDŁA EMISJI '!C12+'SEKTORY I ŹRÓDŁA EMISJI '!E12+'SEKTORY I ŹRÓDŁA EMISJI '!G12+'SEKTORY I ŹRÓDŁA EMISJI '!I12+'SEKTORY I ŹRÓDŁA EMISJI '!K12</f>
        <v>2004.1629399999999</v>
      </c>
    </row>
    <row r="32" spans="1:3">
      <c r="A32" s="178" t="s">
        <v>0</v>
      </c>
      <c r="B32" s="93">
        <f>SUM(B24:B31)</f>
        <v>110099</v>
      </c>
      <c r="C32" s="93">
        <f>SUM(C24:C31)</f>
        <v>22036.871869999995</v>
      </c>
    </row>
    <row r="33" spans="1:3">
      <c r="A33" s="53" t="s">
        <v>91</v>
      </c>
    </row>
    <row r="34" spans="1:3" ht="15">
      <c r="A34" s="323" t="s">
        <v>24</v>
      </c>
      <c r="B34" s="175" t="s">
        <v>19</v>
      </c>
      <c r="C34" s="175" t="s">
        <v>185</v>
      </c>
    </row>
    <row r="35" spans="1:3">
      <c r="A35" s="323"/>
      <c r="B35" s="175" t="s">
        <v>21</v>
      </c>
      <c r="C35" s="175" t="s">
        <v>20</v>
      </c>
    </row>
    <row r="36" spans="1:3">
      <c r="A36" s="177" t="s">
        <v>5</v>
      </c>
      <c r="B36" s="92">
        <f>'SEKTORY I ŹRÓDŁA EMISJI '!B17+'SEKTORY I ŹRÓDŁA EMISJI '!D17+'SEKTORY I ŹRÓDŁA EMISJI '!F17+'SEKTORY I ŹRÓDŁA EMISJI '!H17+'SEKTORY I ŹRÓDŁA EMISJI '!J17</f>
        <v>20469.318566525475</v>
      </c>
      <c r="C36" s="92">
        <f>'SEKTORY I ŹRÓDŁA EMISJI '!C17+'SEKTORY I ŹRÓDŁA EMISJI '!E17+'SEKTORY I ŹRÓDŁA EMISJI '!G17+'SEKTORY I ŹRÓDŁA EMISJI '!I17+'SEKTORY I ŹRÓDŁA EMISJI '!K17</f>
        <v>6836.752401219509</v>
      </c>
    </row>
    <row r="37" spans="1:3">
      <c r="A37" s="178" t="s">
        <v>9</v>
      </c>
      <c r="B37" s="92">
        <f>'SEKTORY I ŹRÓDŁA EMISJI '!B18+'SEKTORY I ŹRÓDŁA EMISJI '!D18+'SEKTORY I ŹRÓDŁA EMISJI '!F18+'SEKTORY I ŹRÓDŁA EMISJI '!H18+'SEKTORY I ŹRÓDŁA EMISJI '!J18</f>
        <v>11293.823</v>
      </c>
      <c r="C37" s="92">
        <f>'SEKTORY I ŹRÓDŁA EMISJI '!C18+'SEKTORY I ŹRÓDŁA EMISJI '!E18+'SEKTORY I ŹRÓDŁA EMISJI '!G18+'SEKTORY I ŹRÓDŁA EMISJI '!I18+'SEKTORY I ŹRÓDŁA EMISJI '!K18</f>
        <v>2270.0584229999999</v>
      </c>
    </row>
    <row r="38" spans="1:3">
      <c r="A38" s="178" t="s">
        <v>8</v>
      </c>
      <c r="B38" s="92">
        <f>'SEKTORY I ŹRÓDŁA EMISJI '!B19+'SEKTORY I ŹRÓDŁA EMISJI '!D19+'SEKTORY I ŹRÓDŁA EMISJI '!F19+'SEKTORY I ŹRÓDŁA EMISJI '!H19+'SEKTORY I ŹRÓDŁA EMISJI '!J19</f>
        <v>0</v>
      </c>
      <c r="C38" s="92">
        <f>'SEKTORY I ŹRÓDŁA EMISJI '!C19+'SEKTORY I ŹRÓDŁA EMISJI '!E19+'SEKTORY I ŹRÓDŁA EMISJI '!G19+'SEKTORY I ŹRÓDŁA EMISJI '!I19+'SEKTORY I ŹRÓDŁA EMISJI '!K19</f>
        <v>0</v>
      </c>
    </row>
    <row r="39" spans="1:3">
      <c r="A39" s="178" t="str">
        <f>A27</f>
        <v>OZE,  w tym biomasa</v>
      </c>
      <c r="B39" s="92">
        <f>'SEKTORY I ŹRÓDŁA EMISJI '!B20+'SEKTORY I ŹRÓDŁA EMISJI '!D20+'SEKTORY I ŹRÓDŁA EMISJI '!F20+'SEKTORY I ŹRÓDŁA EMISJI '!H20+'SEKTORY I ŹRÓDŁA EMISJI '!J20</f>
        <v>62921.445445563731</v>
      </c>
      <c r="C39" s="92">
        <f>'SEKTORY I ŹRÓDŁA EMISJI '!C20+'SEKTORY I ŹRÓDŁA EMISJI '!E20+'SEKTORY I ŹRÓDŁA EMISJI '!G20+'SEKTORY I ŹRÓDŁA EMISJI '!I20+'SEKTORY I ŹRÓDŁA EMISJI '!K20</f>
        <v>0</v>
      </c>
    </row>
    <row r="40" spans="1:3">
      <c r="A40" s="178" t="s">
        <v>14</v>
      </c>
      <c r="B40" s="92">
        <f>'SEKTORY I ŹRÓDŁA EMISJI '!B21+'SEKTORY I ŹRÓDŁA EMISJI '!D21+'SEKTORY I ŹRÓDŁA EMISJI '!F21+'SEKTORY I ŹRÓDŁA EMISJI '!H21+'SEKTORY I ŹRÓDŁA EMISJI '!J21</f>
        <v>10933.084445859873</v>
      </c>
      <c r="C40" s="92">
        <f>'SEKTORY I ŹRÓDŁA EMISJI '!C21+'SEKTORY I ŹRÓDŁA EMISJI '!E21+'SEKTORY I ŹRÓDŁA EMISJI '!G21+'SEKTORY I ŹRÓDŁA EMISJI '!I21+'SEKTORY I ŹRÓDŁA EMISJI '!K21</f>
        <v>8877.664570038216</v>
      </c>
    </row>
    <row r="41" spans="1:3">
      <c r="A41" s="178" t="s">
        <v>10</v>
      </c>
      <c r="B41" s="92">
        <f>'SEKTORY I ŹRÓDŁA EMISJI '!B22+'SEKTORY I ŹRÓDŁA EMISJI '!D22+'SEKTORY I ŹRÓDŁA EMISJI '!F22+'SEKTORY I ŹRÓDŁA EMISJI '!H22+'SEKTORY I ŹRÓDŁA EMISJI '!J22</f>
        <v>3444.5117863105179</v>
      </c>
      <c r="C41" s="92">
        <f>'SEKTORY I ŹRÓDŁA EMISJI '!C22+'SEKTORY I ŹRÓDŁA EMISJI '!E22+'SEKTORY I ŹRÓDŁA EMISJI '!G22+'SEKTORY I ŹRÓDŁA EMISJI '!I22+'SEKTORY I ŹRÓDŁA EMISJI '!K22</f>
        <v>850.79441121869786</v>
      </c>
    </row>
    <row r="42" spans="1:3">
      <c r="A42" s="178" t="s">
        <v>6</v>
      </c>
      <c r="B42" s="92">
        <f>'SEKTORY I ŹRÓDŁA EMISJI '!B23+'SEKTORY I ŹRÓDŁA EMISJI '!D23+'SEKTORY I ŹRÓDŁA EMISJI '!F23+'SEKTORY I ŹRÓDŁA EMISJI '!H23+'SEKTORY I ŹRÓDŁA EMISJI '!J23</f>
        <v>6684.5577673900943</v>
      </c>
      <c r="C42" s="92">
        <f>'SEKTORY I ŹRÓDŁA EMISJI '!C23+'SEKTORY I ŹRÓDŁA EMISJI '!E23+'SEKTORY I ŹRÓDŁA EMISJI '!G23+'SEKTORY I ŹRÓDŁA EMISJI '!I23+'SEKTORY I ŹRÓDŁA EMISJI '!K23</f>
        <v>1764.7232505909849</v>
      </c>
    </row>
    <row r="43" spans="1:3">
      <c r="A43" s="178" t="s">
        <v>25</v>
      </c>
      <c r="B43" s="92">
        <f>'SEKTORY I ŹRÓDŁA EMISJI '!B24+'SEKTORY I ŹRÓDŁA EMISJI '!D24+'SEKTORY I ŹRÓDŁA EMISJI '!F24+'SEKTORY I ŹRÓDŁA EMISJI '!H24+'SEKTORY I ŹRÓDŁA EMISJI '!J24</f>
        <v>9137.1902459654975</v>
      </c>
      <c r="C43" s="92">
        <f>'SEKTORY I ŹRÓDŁA EMISJI '!C24+'SEKTORY I ŹRÓDŁA EMISJI '!E24+'SEKTORY I ŹRÓDŁA EMISJI '!G24+'SEKTORY I ŹRÓDŁA EMISJI '!I24+'SEKTORY I ŹRÓDŁA EMISJI '!K24</f>
        <v>2256.8859907534779</v>
      </c>
    </row>
    <row r="44" spans="1:3">
      <c r="A44" s="178" t="s">
        <v>0</v>
      </c>
      <c r="B44" s="93">
        <f>SUM(B36:B43)</f>
        <v>124883.93125761519</v>
      </c>
      <c r="C44" s="93">
        <f>SUM(C36:C43)</f>
        <v>22856.879046820883</v>
      </c>
    </row>
    <row r="45" spans="1:3">
      <c r="B45" s="78"/>
      <c r="C45" s="78"/>
    </row>
  </sheetData>
  <mergeCells count="6">
    <mergeCell ref="A34:A35"/>
    <mergeCell ref="A3:A4"/>
    <mergeCell ref="A22:A23"/>
    <mergeCell ref="A2:C2"/>
    <mergeCell ref="A11:C11"/>
    <mergeCell ref="A12:A13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headerFooter differentFirst="1">
    <oddFooter>Strona &amp;P z &amp;N</oddFooter>
  </headerFooter>
  <rowBreaks count="2" manualBreakCount="2">
    <brk id="20" max="2" man="1"/>
    <brk id="45" max="2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view="pageBreakPreview" topLeftCell="A2" zoomScale="50" zoomScaleNormal="100" zoomScaleSheetLayoutView="50" workbookViewId="0">
      <selection activeCell="E12" sqref="E12"/>
    </sheetView>
  </sheetViews>
  <sheetFormatPr defaultRowHeight="14.5"/>
  <cols>
    <col min="1" max="1" width="8.453125" style="9" customWidth="1"/>
    <col min="2" max="2" width="51.7265625" style="8" customWidth="1"/>
    <col min="3" max="3" width="17.36328125" style="9" customWidth="1"/>
    <col min="4" max="4" width="13.6328125" style="9" customWidth="1"/>
    <col min="5" max="5" width="18.90625" style="9" customWidth="1"/>
    <col min="6" max="6" width="17.6328125" style="9" customWidth="1"/>
    <col min="7" max="7" width="64" style="9" customWidth="1"/>
    <col min="8" max="8" width="19" style="9" customWidth="1"/>
  </cols>
  <sheetData>
    <row r="1" spans="1:10" ht="30.65" customHeight="1">
      <c r="A1" s="329" t="s">
        <v>26</v>
      </c>
      <c r="B1" s="329" t="s">
        <v>31</v>
      </c>
      <c r="C1" s="329" t="s">
        <v>32</v>
      </c>
      <c r="D1" s="329" t="s">
        <v>33</v>
      </c>
      <c r="E1" s="164" t="s">
        <v>34</v>
      </c>
      <c r="F1" s="164" t="s">
        <v>41</v>
      </c>
      <c r="G1" s="325" t="s">
        <v>96</v>
      </c>
      <c r="H1" s="164" t="s">
        <v>35</v>
      </c>
    </row>
    <row r="2" spans="1:10" ht="26.4" customHeight="1">
      <c r="A2" s="325"/>
      <c r="B2" s="329"/>
      <c r="C2" s="329"/>
      <c r="D2" s="329"/>
      <c r="E2" s="164" t="s">
        <v>36</v>
      </c>
      <c r="F2" s="164" t="s">
        <v>42</v>
      </c>
      <c r="G2" s="326"/>
      <c r="H2" s="164" t="s">
        <v>37</v>
      </c>
    </row>
    <row r="3" spans="1:10" ht="30.65" hidden="1" customHeight="1">
      <c r="A3" s="330" t="s">
        <v>27</v>
      </c>
      <c r="B3" s="168" t="s">
        <v>59</v>
      </c>
      <c r="C3" s="23" t="s">
        <v>48</v>
      </c>
      <c r="D3" s="23" t="s">
        <v>66</v>
      </c>
      <c r="E3" s="31">
        <f>0*Podsumowanie!B5</f>
        <v>0</v>
      </c>
      <c r="F3" s="31">
        <f>Podsumowanie!C5*0</f>
        <v>0</v>
      </c>
      <c r="G3" s="98"/>
      <c r="H3" s="28">
        <v>0</v>
      </c>
      <c r="J3" s="61">
        <v>0.01</v>
      </c>
    </row>
    <row r="4" spans="1:10" ht="137.5" customHeight="1">
      <c r="A4" s="331"/>
      <c r="B4" s="70" t="s">
        <v>162</v>
      </c>
      <c r="C4" s="70" t="s">
        <v>325</v>
      </c>
      <c r="D4" s="70" t="s">
        <v>326</v>
      </c>
      <c r="E4" s="31">
        <v>0</v>
      </c>
      <c r="F4" s="31">
        <v>0</v>
      </c>
      <c r="G4" s="31" t="s">
        <v>98</v>
      </c>
      <c r="H4" s="17">
        <v>0</v>
      </c>
    </row>
    <row r="5" spans="1:10" ht="44" customHeight="1">
      <c r="A5" s="331"/>
      <c r="B5" s="70" t="s">
        <v>161</v>
      </c>
      <c r="C5" s="70" t="str">
        <f>C4</f>
        <v>GMINA RYGLICE</v>
      </c>
      <c r="D5" s="70" t="str">
        <f>D4</f>
        <v>2022-2027</v>
      </c>
      <c r="E5" s="31">
        <v>0</v>
      </c>
      <c r="F5" s="31">
        <v>0</v>
      </c>
      <c r="G5" s="31" t="s">
        <v>98</v>
      </c>
      <c r="H5" s="163">
        <v>0</v>
      </c>
    </row>
    <row r="6" spans="1:10" ht="79" customHeight="1">
      <c r="A6" s="331"/>
      <c r="B6" s="228" t="s">
        <v>163</v>
      </c>
      <c r="C6" s="70" t="str">
        <f t="shared" ref="C6:C11" si="0">C5</f>
        <v>GMINA RYGLICE</v>
      </c>
      <c r="D6" s="70" t="str">
        <f t="shared" ref="D6:D15" si="1">D5</f>
        <v>2022-2027</v>
      </c>
      <c r="E6" s="167">
        <f>'SEKTORY I ŹRÓDŁA EMISJI '!B21+'SEKTORY I ŹRÓDŁA EMISJI '!H21</f>
        <v>1101.066</v>
      </c>
      <c r="F6" s="167">
        <f>'SEKTORY I ŹRÓDŁA EMISJI '!C21+'SEKTORY I ŹRÓDŁA EMISJI '!I21</f>
        <v>894.06559200000015</v>
      </c>
      <c r="G6" s="161" t="s">
        <v>179</v>
      </c>
      <c r="H6" s="163" t="s">
        <v>151</v>
      </c>
    </row>
    <row r="7" spans="1:10" ht="92.5" hidden="1" customHeight="1">
      <c r="A7" s="331"/>
      <c r="B7" s="228" t="s">
        <v>164</v>
      </c>
      <c r="C7" s="70" t="str">
        <f t="shared" si="0"/>
        <v>GMINA RYGLICE</v>
      </c>
      <c r="D7" s="70" t="str">
        <f t="shared" si="1"/>
        <v>2022-2027</v>
      </c>
      <c r="E7" s="167">
        <v>0</v>
      </c>
      <c r="F7" s="167">
        <v>0</v>
      </c>
      <c r="G7" s="161">
        <v>0</v>
      </c>
      <c r="H7" s="163">
        <v>0</v>
      </c>
    </row>
    <row r="8" spans="1:10" ht="63" customHeight="1">
      <c r="A8" s="331"/>
      <c r="B8" s="70" t="s">
        <v>186</v>
      </c>
      <c r="C8" s="70" t="str">
        <f>C7</f>
        <v>GMINA RYGLICE</v>
      </c>
      <c r="D8" s="70" t="str">
        <f>D7</f>
        <v>2022-2027</v>
      </c>
      <c r="E8" s="31">
        <v>0</v>
      </c>
      <c r="F8" s="31">
        <v>0</v>
      </c>
      <c r="G8" s="31" t="s">
        <v>98</v>
      </c>
      <c r="H8" s="17">
        <v>0</v>
      </c>
    </row>
    <row r="9" spans="1:10" ht="44" customHeight="1" thickBot="1">
      <c r="A9" s="332"/>
      <c r="B9" s="70" t="s">
        <v>97</v>
      </c>
      <c r="C9" s="70" t="str">
        <f t="shared" si="0"/>
        <v>GMINA RYGLICE</v>
      </c>
      <c r="D9" s="70" t="str">
        <f t="shared" si="1"/>
        <v>2022-2027</v>
      </c>
      <c r="E9" s="31">
        <v>0</v>
      </c>
      <c r="F9" s="31">
        <v>0</v>
      </c>
      <c r="G9" s="31" t="s">
        <v>98</v>
      </c>
      <c r="H9" s="17">
        <v>0</v>
      </c>
    </row>
    <row r="10" spans="1:10" ht="92" customHeight="1" thickBot="1">
      <c r="A10" s="230" t="s">
        <v>29</v>
      </c>
      <c r="B10" s="168" t="s">
        <v>345</v>
      </c>
      <c r="C10" s="70" t="str">
        <f t="shared" si="0"/>
        <v>GMINA RYGLICE</v>
      </c>
      <c r="D10" s="70" t="str">
        <f t="shared" si="1"/>
        <v>2022-2027</v>
      </c>
      <c r="E10" s="31">
        <f>0.05*Podsumowanie!B16</f>
        <v>963.31298998330556</v>
      </c>
      <c r="F10" s="31">
        <f>0.05*Podsumowanie!C16</f>
        <v>243.62018262815806</v>
      </c>
      <c r="G10" s="31" t="s">
        <v>189</v>
      </c>
      <c r="H10" s="163" t="s">
        <v>151</v>
      </c>
      <c r="J10" s="68"/>
    </row>
    <row r="11" spans="1:10" ht="69" customHeight="1" thickBot="1">
      <c r="A11" s="229" t="s">
        <v>149</v>
      </c>
      <c r="B11" s="168" t="s">
        <v>176</v>
      </c>
      <c r="C11" s="70" t="str">
        <f t="shared" si="0"/>
        <v>GMINA RYGLICE</v>
      </c>
      <c r="D11" s="70" t="str">
        <f t="shared" si="1"/>
        <v>2022-2027</v>
      </c>
      <c r="E11" s="31">
        <f>0.3*Podsumowanie!B18</f>
        <v>47.583000000000006</v>
      </c>
      <c r="F11" s="31">
        <f>0.3*Podsumowanie!C18</f>
        <v>38.637396000000003</v>
      </c>
      <c r="G11" s="31" t="s">
        <v>346</v>
      </c>
      <c r="H11" s="162" t="s">
        <v>151</v>
      </c>
      <c r="J11" s="68"/>
    </row>
    <row r="12" spans="1:10" ht="112" customHeight="1">
      <c r="A12" s="333"/>
      <c r="B12" s="168" t="s">
        <v>327</v>
      </c>
      <c r="C12" s="59" t="s">
        <v>330</v>
      </c>
      <c r="D12" s="70" t="str">
        <f t="shared" si="1"/>
        <v>2022-2027</v>
      </c>
      <c r="E12" s="31">
        <f>0.35*('SEKTORY I ŹRÓDŁA EMISJI '!D17+'SEKTORY I ŹRÓDŁA EMISJI '!D20)*0.25</f>
        <v>6995.2608891451591</v>
      </c>
      <c r="F12" s="31">
        <f>0.35*('SEKTORY I ŹRÓDŁA EMISJI '!E17+'SEKTORY I ŹRÓDŁA EMISJI '!E20)*0.3</f>
        <v>694.08661144690836</v>
      </c>
      <c r="G12" s="31" t="s">
        <v>349</v>
      </c>
      <c r="H12" s="17" t="s">
        <v>60</v>
      </c>
    </row>
    <row r="13" spans="1:10" ht="95" customHeight="1">
      <c r="A13" s="333"/>
      <c r="B13" s="168" t="s">
        <v>328</v>
      </c>
      <c r="C13" s="59" t="s">
        <v>51</v>
      </c>
      <c r="D13" s="70" t="str">
        <f t="shared" si="1"/>
        <v>2022-2027</v>
      </c>
      <c r="E13" s="31">
        <f>(118/'BAZA MAŁOPOLSKA EMISJI'!F4)*('SEKTORY I ŹRÓDŁA EMISJI '!D25-'SEKTORY I ŹRÓDŁA EMISJI '!D20)*0.25</f>
        <v>1462.9706527198173</v>
      </c>
      <c r="F13" s="31">
        <f>(118/'BAZA MAŁOPOLSKA EMISJI'!F4)*('SEKTORY I ŹRÓDŁA EMISJI '!E25-'SEKTORY I ŹRÓDŁA EMISJI '!E20)*0.3</f>
        <v>738.18859097170719</v>
      </c>
      <c r="G13" s="31" t="s">
        <v>340</v>
      </c>
      <c r="H13" s="17" t="s">
        <v>60</v>
      </c>
    </row>
    <row r="14" spans="1:10" ht="101.5" customHeight="1" thickBot="1">
      <c r="A14" s="334"/>
      <c r="B14" s="168" t="s">
        <v>329</v>
      </c>
      <c r="C14" s="59" t="s">
        <v>331</v>
      </c>
      <c r="D14" s="70" t="str">
        <f t="shared" si="1"/>
        <v>2022-2027</v>
      </c>
      <c r="E14" s="60">
        <f>(0.2)*'SEKTORY I ŹRÓDŁA EMISJI '!D25*0.25</f>
        <v>4773.2020092658422</v>
      </c>
      <c r="F14" s="60">
        <f>(0.2)*'SEKTORY I ŹRÓDŁA EMISJI '!E25*0.3</f>
        <v>890.8309775794163</v>
      </c>
      <c r="G14" s="31" t="s">
        <v>347</v>
      </c>
      <c r="H14" s="17" t="s">
        <v>60</v>
      </c>
    </row>
    <row r="15" spans="1:10" ht="101.5" customHeight="1" thickBot="1">
      <c r="A15" s="229" t="s">
        <v>177</v>
      </c>
      <c r="B15" s="168" t="s">
        <v>332</v>
      </c>
      <c r="C15" s="59" t="s">
        <v>51</v>
      </c>
      <c r="D15" s="70" t="str">
        <f t="shared" si="1"/>
        <v>2022-2027</v>
      </c>
      <c r="E15" s="60">
        <f>0.1*'SEKTORY I ŹRÓDŁA EMISJI '!F25*0.25</f>
        <v>166.19605681580589</v>
      </c>
      <c r="F15" s="60">
        <f>0.3*'SEKTORY I ŹRÓDŁA EMISJI '!G25*0.1</f>
        <v>52.874715588023633</v>
      </c>
      <c r="G15" s="31" t="s">
        <v>350</v>
      </c>
      <c r="H15" s="17" t="s">
        <v>60</v>
      </c>
    </row>
    <row r="16" spans="1:10">
      <c r="A16" s="327" t="s">
        <v>0</v>
      </c>
      <c r="B16" s="328"/>
      <c r="C16" s="328"/>
      <c r="D16" s="172" t="str">
        <f>D15</f>
        <v>2022-2027</v>
      </c>
      <c r="E16" s="179">
        <f>SUM(E3:E15)</f>
        <v>15509.591597929932</v>
      </c>
      <c r="F16" s="179">
        <f>SUM(F3:F15)</f>
        <v>3552.3040662142139</v>
      </c>
      <c r="G16" s="179"/>
      <c r="H16" s="180">
        <f>SUM(H3:H14)</f>
        <v>0</v>
      </c>
    </row>
    <row r="17" spans="1:8">
      <c r="A17" s="11"/>
      <c r="B17" s="29"/>
      <c r="C17" s="11"/>
      <c r="D17" s="11"/>
      <c r="E17" s="11"/>
      <c r="F17" s="11"/>
      <c r="G17" s="11"/>
      <c r="H17" s="11"/>
    </row>
    <row r="19" spans="1:8">
      <c r="E19" s="58"/>
      <c r="F19" s="58"/>
      <c r="G19" s="58"/>
    </row>
    <row r="20" spans="1:8">
      <c r="E20" s="58"/>
      <c r="F20" s="58"/>
      <c r="G20" s="58"/>
    </row>
    <row r="21" spans="1:8">
      <c r="E21" s="58"/>
      <c r="F21" s="58"/>
      <c r="G21" s="58"/>
    </row>
    <row r="22" spans="1:8">
      <c r="E22" s="58"/>
      <c r="F22" s="58"/>
      <c r="G22" s="58"/>
    </row>
    <row r="23" spans="1:8">
      <c r="E23" s="58"/>
      <c r="F23" s="58"/>
      <c r="G23" s="58"/>
      <c r="H23" s="58"/>
    </row>
    <row r="24" spans="1:8">
      <c r="E24" s="58"/>
      <c r="F24" s="58"/>
      <c r="G24" s="58"/>
      <c r="H24" s="58"/>
    </row>
  </sheetData>
  <mergeCells count="8">
    <mergeCell ref="G1:G2"/>
    <mergeCell ref="A16:C16"/>
    <mergeCell ref="A1:A2"/>
    <mergeCell ref="B1:B2"/>
    <mergeCell ref="C1:C2"/>
    <mergeCell ref="D1:D2"/>
    <mergeCell ref="A3:A9"/>
    <mergeCell ref="A12:A14"/>
  </mergeCells>
  <pageMargins left="0.70866141732283472" right="0.70866141732283472" top="0.74803149606299213" bottom="0.74803149606299213" header="0.31496062992125984" footer="0.31496062992125984"/>
  <pageSetup paperSize="8" scale="63" orientation="landscape" r:id="rId1"/>
  <headerFooter differentFirst="1">
    <oddFooter>Strona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view="pageBreakPreview" zoomScale="60" zoomScaleNormal="100" workbookViewId="0">
      <selection activeCell="B9" sqref="B9"/>
    </sheetView>
  </sheetViews>
  <sheetFormatPr defaultColWidth="9.08984375" defaultRowHeight="14.5"/>
  <cols>
    <col min="1" max="1" width="29.6328125" style="20" customWidth="1"/>
    <col min="2" max="2" width="16.36328125" style="20" customWidth="1"/>
    <col min="3" max="3" width="16" style="20" customWidth="1"/>
    <col min="4" max="7" width="14.90625" style="20" customWidth="1"/>
    <col min="8" max="8" width="15.6328125" style="20" customWidth="1"/>
    <col min="9" max="9" width="10.7265625" style="38" bestFit="1" customWidth="1"/>
    <col min="10" max="10" width="15.6328125" style="38" customWidth="1"/>
    <col min="11" max="13" width="9.08984375" style="38"/>
    <col min="14" max="14" width="26.453125" style="38" customWidth="1"/>
    <col min="15" max="15" width="13.6328125" style="38" customWidth="1"/>
    <col min="16" max="16" width="9.08984375" style="38"/>
    <col min="17" max="17" width="9.08984375" style="51"/>
    <col min="18" max="19" width="9.08984375" style="49"/>
    <col min="20" max="16384" width="9.08984375" style="20"/>
  </cols>
  <sheetData>
    <row r="1" spans="1:15" ht="14.4" customHeight="1">
      <c r="A1" s="335" t="s">
        <v>26</v>
      </c>
      <c r="B1" s="336" t="s">
        <v>19</v>
      </c>
      <c r="C1" s="337"/>
      <c r="D1" s="337"/>
      <c r="E1" s="337"/>
      <c r="F1" s="337"/>
      <c r="G1" s="337"/>
      <c r="H1" s="338"/>
    </row>
    <row r="2" spans="1:15" ht="14" customHeight="1">
      <c r="A2" s="335"/>
      <c r="B2" s="335" t="s">
        <v>21</v>
      </c>
      <c r="C2" s="335"/>
      <c r="D2" s="335"/>
      <c r="E2" s="181" t="s">
        <v>50</v>
      </c>
      <c r="F2" s="181" t="s">
        <v>36</v>
      </c>
      <c r="G2" s="181" t="str">
        <f>E2</f>
        <v>[%]</v>
      </c>
      <c r="H2" s="183" t="str">
        <f>F2</f>
        <v>[MWh/rok]</v>
      </c>
      <c r="M2" s="38" t="s">
        <v>43</v>
      </c>
      <c r="O2" s="38" t="s">
        <v>44</v>
      </c>
    </row>
    <row r="3" spans="1:15" ht="75" customHeight="1">
      <c r="A3" s="181"/>
      <c r="B3" s="181">
        <v>2014</v>
      </c>
      <c r="C3" s="181">
        <v>2020</v>
      </c>
      <c r="D3" s="184" t="s">
        <v>338</v>
      </c>
      <c r="E3" s="184" t="s">
        <v>49</v>
      </c>
      <c r="F3" s="184" t="s">
        <v>57</v>
      </c>
      <c r="G3" s="184" t="s">
        <v>61</v>
      </c>
      <c r="H3" s="185" t="s">
        <v>339</v>
      </c>
      <c r="M3" s="38" t="s">
        <v>14</v>
      </c>
      <c r="O3" s="46" t="e">
        <f>#REF!/'Prognozy ogólne'!#REF!</f>
        <v>#REF!</v>
      </c>
    </row>
    <row r="4" spans="1:15">
      <c r="A4" s="182" t="s">
        <v>27</v>
      </c>
      <c r="B4" s="25">
        <f>Podsumowanie!B5</f>
        <v>1965.37</v>
      </c>
      <c r="C4" s="21">
        <f>Podsumowanie!B14</f>
        <v>3347.1790000000001</v>
      </c>
      <c r="D4" s="26">
        <f>C4</f>
        <v>3347.1790000000001</v>
      </c>
      <c r="E4" s="55">
        <f t="shared" ref="E4:E9" si="0">D4/B4-1</f>
        <v>0.70307830077797062</v>
      </c>
      <c r="F4" s="26">
        <f>SUM('PLAN DZIAŁAŃ do roku 2027'!E4:E9)</f>
        <v>1101.066</v>
      </c>
      <c r="G4" s="55">
        <f t="shared" ref="G4:G9" si="1">H4/B4-1</f>
        <v>0.14284485872889086</v>
      </c>
      <c r="H4" s="42">
        <f t="shared" ref="H4:H9" si="2">D4-F4</f>
        <v>2246.1130000000003</v>
      </c>
      <c r="I4" s="39">
        <f>D5/D9</f>
        <v>0.76442212560069156</v>
      </c>
      <c r="M4" s="38" t="s">
        <v>45</v>
      </c>
      <c r="O4" s="47" t="e">
        <f>(#REF!-#REF!)/'Prognozy ogólne'!#REF!</f>
        <v>#REF!</v>
      </c>
    </row>
    <row r="5" spans="1:15">
      <c r="A5" s="182" t="s">
        <v>28</v>
      </c>
      <c r="B5" s="25">
        <f>Podsumowanie!B6</f>
        <v>86755.459999999992</v>
      </c>
      <c r="C5" s="21">
        <f>Podsumowanie!B15</f>
        <v>95464.040185316844</v>
      </c>
      <c r="D5" s="26">
        <f>C5</f>
        <v>95464.040185316844</v>
      </c>
      <c r="E5" s="55">
        <f t="shared" si="0"/>
        <v>0.10038077355957609</v>
      </c>
      <c r="F5" s="26">
        <f>SUM('PLAN DZIAŁAŃ do roku 2027'!E12:E14)</f>
        <v>13231.433551130818</v>
      </c>
      <c r="G5" s="55">
        <f t="shared" si="1"/>
        <v>-5.2133356976194478E-2</v>
      </c>
      <c r="H5" s="42">
        <f t="shared" si="2"/>
        <v>82232.606634186028</v>
      </c>
      <c r="I5" s="39">
        <f>D15/D19</f>
        <v>0.64957175164830738</v>
      </c>
      <c r="M5" s="38" t="s">
        <v>46</v>
      </c>
      <c r="O5" s="48" t="e">
        <f>O4/2</f>
        <v>#REF!</v>
      </c>
    </row>
    <row r="6" spans="1:15">
      <c r="A6" s="182" t="s">
        <v>29</v>
      </c>
      <c r="B6" s="25">
        <f>Podsumowanie!B7</f>
        <v>17108.849999999999</v>
      </c>
      <c r="C6" s="21">
        <f>Podsumowanie!B16</f>
        <v>19266.25979966611</v>
      </c>
      <c r="D6" s="26">
        <f>C6</f>
        <v>19266.25979966611</v>
      </c>
      <c r="E6" s="55">
        <f t="shared" si="0"/>
        <v>0.12609905397885379</v>
      </c>
      <c r="F6" s="74">
        <f>'PLAN DZIAŁAŃ do roku 2027'!E10</f>
        <v>963.31298998330556</v>
      </c>
      <c r="G6" s="55">
        <f t="shared" si="1"/>
        <v>6.9794101279911036E-2</v>
      </c>
      <c r="H6" s="42">
        <f t="shared" si="2"/>
        <v>18302.946809682806</v>
      </c>
      <c r="I6" s="39">
        <v>86.652608009171672</v>
      </c>
      <c r="J6" s="38">
        <f>B6/B9</f>
        <v>0.15539514437006693</v>
      </c>
      <c r="M6" s="38" t="s">
        <v>47</v>
      </c>
      <c r="O6" s="48"/>
    </row>
    <row r="7" spans="1:15">
      <c r="A7" s="182" t="s">
        <v>170</v>
      </c>
      <c r="B7" s="25">
        <f>Podsumowanie!B8</f>
        <v>3890.34</v>
      </c>
      <c r="C7" s="21">
        <f>Podsumowanie!B17</f>
        <v>6647.8422726322351</v>
      </c>
      <c r="D7" s="26">
        <f>C7</f>
        <v>6647.8422726322351</v>
      </c>
      <c r="E7" s="55">
        <f t="shared" si="0"/>
        <v>0.70880752649697332</v>
      </c>
      <c r="F7" s="26">
        <f>'PLAN DZIAŁAŃ do roku 2027'!E15</f>
        <v>166.19605681580589</v>
      </c>
      <c r="G7" s="55">
        <f t="shared" si="1"/>
        <v>0.66608733833454892</v>
      </c>
      <c r="H7" s="42">
        <f t="shared" si="2"/>
        <v>6481.6462158164295</v>
      </c>
      <c r="I7" s="39">
        <v>77.510271552840095</v>
      </c>
      <c r="O7" s="39"/>
    </row>
    <row r="8" spans="1:15">
      <c r="A8" s="182" t="s">
        <v>150</v>
      </c>
      <c r="B8" s="25">
        <f>Podsumowanie!B9</f>
        <v>378.98</v>
      </c>
      <c r="C8" s="21">
        <f>Podsumowanie!B18</f>
        <v>158.61000000000001</v>
      </c>
      <c r="D8" s="26">
        <f>C8</f>
        <v>158.61000000000001</v>
      </c>
      <c r="E8" s="55">
        <f t="shared" si="0"/>
        <v>-0.58148187239432159</v>
      </c>
      <c r="F8" s="26">
        <f>'PLAN DZIAŁAŃ do roku 2027'!E11</f>
        <v>47.583000000000006</v>
      </c>
      <c r="G8" s="55">
        <f t="shared" si="1"/>
        <v>-0.70703731067602504</v>
      </c>
      <c r="H8" s="42">
        <f t="shared" si="2"/>
        <v>111.02700000000002</v>
      </c>
      <c r="I8" s="39"/>
      <c r="O8" s="39"/>
    </row>
    <row r="9" spans="1:15">
      <c r="A9" s="182" t="s">
        <v>0</v>
      </c>
      <c r="B9" s="27">
        <f>SUM(B4:B8)</f>
        <v>110098.99999999999</v>
      </c>
      <c r="C9" s="27">
        <f>SUM(C4:C8)</f>
        <v>124883.93125761519</v>
      </c>
      <c r="D9" s="27">
        <f>SUM(D4:D8)</f>
        <v>124883.93125761519</v>
      </c>
      <c r="E9" s="56">
        <f t="shared" si="0"/>
        <v>0.13428760713190124</v>
      </c>
      <c r="F9" s="32">
        <f>SUM(F4:F8)</f>
        <v>15509.591597929932</v>
      </c>
      <c r="G9" s="56">
        <f t="shared" si="1"/>
        <v>-6.5818975677774949E-3</v>
      </c>
      <c r="H9" s="43">
        <f t="shared" si="2"/>
        <v>109374.33965968525</v>
      </c>
      <c r="I9" s="39">
        <v>15910.409989303094</v>
      </c>
      <c r="J9" s="38" t="e">
        <f>D9/'Prognozy ogólne'!#REF!</f>
        <v>#REF!</v>
      </c>
      <c r="O9" s="39"/>
    </row>
    <row r="10" spans="1:15">
      <c r="J10" s="38" t="e">
        <f>D9/'Prognozy ogólne'!#REF!</f>
        <v>#REF!</v>
      </c>
    </row>
    <row r="11" spans="1:15" ht="14.4" customHeight="1">
      <c r="A11" s="335" t="s">
        <v>26</v>
      </c>
      <c r="B11" s="336" t="s">
        <v>22</v>
      </c>
      <c r="C11" s="337"/>
      <c r="D11" s="337"/>
      <c r="E11" s="337"/>
      <c r="F11" s="337"/>
      <c r="G11" s="337"/>
      <c r="H11" s="338"/>
    </row>
    <row r="12" spans="1:15">
      <c r="A12" s="335"/>
      <c r="B12" s="335" t="s">
        <v>40</v>
      </c>
      <c r="C12" s="335"/>
      <c r="D12" s="335"/>
      <c r="E12" s="181" t="s">
        <v>50</v>
      </c>
      <c r="F12" s="181" t="str">
        <f>B12</f>
        <v>Mg CO2</v>
      </c>
      <c r="G12" s="181" t="str">
        <f>E12</f>
        <v>[%]</v>
      </c>
      <c r="H12" s="183" t="str">
        <f>F12</f>
        <v>Mg CO2</v>
      </c>
    </row>
    <row r="13" spans="1:15" ht="72.5">
      <c r="A13" s="181"/>
      <c r="B13" s="181">
        <v>2014</v>
      </c>
      <c r="C13" s="181">
        <v>2020</v>
      </c>
      <c r="D13" s="184" t="str">
        <f>D3</f>
        <v>2027- wariant bazowy BaU bez podjęcia działań Planu</v>
      </c>
      <c r="E13" s="184" t="str">
        <f>E3</f>
        <v>Wzrost/redukcja w stosunku do roku bazowego bez podjęcia działań Planu</v>
      </c>
      <c r="F13" s="184" t="str">
        <f>F3</f>
        <v xml:space="preserve">Planowana wartość redukcji- cel redukcji </v>
      </c>
      <c r="G13" s="184" t="str">
        <f>G3</f>
        <v>Planowana wartość redukcji w stosunku do roku bazowego</v>
      </c>
      <c r="H13" s="185" t="str">
        <f>H3</f>
        <v>2027- wariant docelowy- cel redukcji Gminy</v>
      </c>
      <c r="I13" s="41"/>
    </row>
    <row r="14" spans="1:15">
      <c r="A14" s="182" t="s">
        <v>27</v>
      </c>
      <c r="B14" s="30">
        <f>Podsumowanie!C5</f>
        <v>574.51048000000003</v>
      </c>
      <c r="C14" s="30">
        <f>Podsumowanie!C14</f>
        <v>1246.0105950000002</v>
      </c>
      <c r="D14" s="26">
        <f>C14</f>
        <v>1246.0105950000002</v>
      </c>
      <c r="E14" s="55">
        <f t="shared" ref="E14:E19" si="3">D14/B14-1</f>
        <v>1.1688213503085274</v>
      </c>
      <c r="F14" s="26">
        <f>SUM('PLAN DZIAŁAŃ do roku 2027'!F4:F9)</f>
        <v>894.06559200000015</v>
      </c>
      <c r="G14" s="55">
        <f t="shared" ref="G14:G19" si="4">(H14-B14)/B14</f>
        <v>-0.3874002037351868</v>
      </c>
      <c r="H14" s="44">
        <f t="shared" ref="H14:H19" si="5">D14-F14</f>
        <v>351.94500300000004</v>
      </c>
      <c r="I14" s="76"/>
      <c r="J14" s="40">
        <f>B14/$B$19</f>
        <v>2.6070418859316991E-2</v>
      </c>
      <c r="K14" s="40">
        <f>C14/$C$19</f>
        <v>5.4513592710869467E-2</v>
      </c>
      <c r="L14" s="40">
        <f>D14/$D$19</f>
        <v>5.4513592710869467E-2</v>
      </c>
    </row>
    <row r="15" spans="1:15">
      <c r="A15" s="182" t="s">
        <v>28</v>
      </c>
      <c r="B15" s="30">
        <f>Podsumowanie!C6</f>
        <v>15460.69291</v>
      </c>
      <c r="C15" s="30">
        <f>Podsumowanie!C15</f>
        <v>14847.182959656937</v>
      </c>
      <c r="D15" s="26">
        <f>C15</f>
        <v>14847.182959656937</v>
      </c>
      <c r="E15" s="55">
        <f t="shared" si="3"/>
        <v>-3.9681918133581462E-2</v>
      </c>
      <c r="F15" s="26">
        <f>SUM('PLAN DZIAŁAŃ do roku 2027'!F12:F14)</f>
        <v>2323.1061799980321</v>
      </c>
      <c r="G15" s="55">
        <f t="shared" si="4"/>
        <v>-0.18994078385980279</v>
      </c>
      <c r="H15" s="44">
        <f t="shared" si="5"/>
        <v>12524.076779658904</v>
      </c>
      <c r="I15" s="76">
        <f>D15/D19</f>
        <v>0.64957175164830738</v>
      </c>
      <c r="J15" s="40">
        <f>B15/$B$19</f>
        <v>0.70158291980848186</v>
      </c>
      <c r="K15" s="40">
        <f>C15/$C$19</f>
        <v>0.64957175164830738</v>
      </c>
      <c r="L15" s="40">
        <f>D15/$D$19</f>
        <v>0.64957175164830738</v>
      </c>
    </row>
    <row r="16" spans="1:15">
      <c r="A16" s="182" t="s">
        <v>29</v>
      </c>
      <c r="B16" s="30">
        <f>Podsumowanie!C7</f>
        <v>4259.50486</v>
      </c>
      <c r="C16" s="30">
        <f>Podsumowanie!C16</f>
        <v>4872.4036525631609</v>
      </c>
      <c r="D16" s="26">
        <f>C16</f>
        <v>4872.4036525631609</v>
      </c>
      <c r="E16" s="55">
        <f t="shared" si="3"/>
        <v>0.14388968030503912</v>
      </c>
      <c r="F16" s="74">
        <f>'PLAN DZIAŁAŃ do roku 2027'!F10</f>
        <v>243.62018262815806</v>
      </c>
      <c r="G16" s="55">
        <f t="shared" si="4"/>
        <v>8.6695196289787363E-2</v>
      </c>
      <c r="H16" s="44">
        <f t="shared" si="5"/>
        <v>4628.7834699350033</v>
      </c>
      <c r="I16" s="76"/>
      <c r="J16" s="40">
        <f>B16/$B$19</f>
        <v>0.19328990453489442</v>
      </c>
      <c r="K16" s="40">
        <f>C16/$C$19</f>
        <v>0.21317012014555212</v>
      </c>
      <c r="L16" s="40">
        <f>D16/$D$19</f>
        <v>0.21317012014555212</v>
      </c>
    </row>
    <row r="17" spans="1:12">
      <c r="A17" s="182" t="s">
        <v>170</v>
      </c>
      <c r="B17" s="30">
        <f>Podsumowanie!C8</f>
        <v>1434.4318600000001</v>
      </c>
      <c r="C17" s="30">
        <f>Podsumowanie!C17</f>
        <v>1762.4905196007878</v>
      </c>
      <c r="D17" s="26">
        <f>C17</f>
        <v>1762.4905196007878</v>
      </c>
      <c r="E17" s="55">
        <f t="shared" si="3"/>
        <v>0.22870285354703968</v>
      </c>
      <c r="F17" s="26">
        <f>'PLAN DZIAŁAŃ do roku 2027'!F15</f>
        <v>52.874715588023633</v>
      </c>
      <c r="G17" s="55">
        <f t="shared" si="4"/>
        <v>0.19184176794062838</v>
      </c>
      <c r="H17" s="44">
        <f t="shared" si="5"/>
        <v>1709.6158040127641</v>
      </c>
      <c r="I17" s="76"/>
      <c r="J17" s="40">
        <f>B17/$B$19</f>
        <v>6.5092353781517009E-2</v>
      </c>
      <c r="K17" s="40">
        <f>C17/$C$19</f>
        <v>7.7109850211414963E-2</v>
      </c>
      <c r="L17" s="40">
        <f>D17/$D$19</f>
        <v>7.7109850211414963E-2</v>
      </c>
    </row>
    <row r="18" spans="1:12">
      <c r="A18" s="182" t="s">
        <v>150</v>
      </c>
      <c r="B18" s="160">
        <f>Podsumowanie!C9</f>
        <v>307.73176000000001</v>
      </c>
      <c r="C18" s="30">
        <f>Podsumowanie!C18</f>
        <v>128.79132000000001</v>
      </c>
      <c r="D18" s="26">
        <f>C18</f>
        <v>128.79132000000001</v>
      </c>
      <c r="E18" s="55">
        <f t="shared" si="3"/>
        <v>-0.58148187239432159</v>
      </c>
      <c r="F18" s="26">
        <f>'PLAN DZIAŁAŃ do roku 2027'!F11</f>
        <v>38.637396000000003</v>
      </c>
      <c r="G18" s="55">
        <f t="shared" si="4"/>
        <v>-0.70703731067602504</v>
      </c>
      <c r="H18" s="44">
        <f t="shared" si="5"/>
        <v>90.153924000000018</v>
      </c>
      <c r="I18" s="76"/>
      <c r="J18" s="40"/>
      <c r="K18" s="40"/>
      <c r="L18" s="40"/>
    </row>
    <row r="19" spans="1:12">
      <c r="A19" s="182" t="s">
        <v>0</v>
      </c>
      <c r="B19" s="22">
        <f>SUM(B14:B18)</f>
        <v>22036.871869999999</v>
      </c>
      <c r="C19" s="22">
        <f>SUM(C14:C18)</f>
        <v>22856.879046820886</v>
      </c>
      <c r="D19" s="22">
        <f>SUM(D14:D18)</f>
        <v>22856.879046820886</v>
      </c>
      <c r="E19" s="56">
        <f t="shared" si="3"/>
        <v>3.7210688597650199E-2</v>
      </c>
      <c r="F19" s="50">
        <f>SUM(F14:F18)</f>
        <v>3552.3040662142143</v>
      </c>
      <c r="G19" s="56">
        <f t="shared" si="4"/>
        <v>-0.12398751081876343</v>
      </c>
      <c r="H19" s="45">
        <f t="shared" si="5"/>
        <v>19304.574980606671</v>
      </c>
      <c r="I19" s="77"/>
      <c r="J19" s="38">
        <f>B19/$B$19</f>
        <v>1</v>
      </c>
      <c r="K19" s="38">
        <f>C19/$C$19</f>
        <v>1</v>
      </c>
    </row>
    <row r="20" spans="1:12">
      <c r="A20" s="81"/>
    </row>
  </sheetData>
  <mergeCells count="6">
    <mergeCell ref="A1:A2"/>
    <mergeCell ref="B2:D2"/>
    <mergeCell ref="A11:A12"/>
    <mergeCell ref="B12:D12"/>
    <mergeCell ref="B1:H1"/>
    <mergeCell ref="B11:H1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headerFooter differentFirst="1">
    <oddFooter>Strona &amp;P z &amp;N</oddFooter>
  </headerFooter>
  <rowBreaks count="1" manualBreakCount="1">
    <brk id="10" max="7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view="pageBreakPreview" topLeftCell="B1" zoomScale="80" zoomScaleNormal="100" zoomScaleSheetLayoutView="80" workbookViewId="0">
      <selection activeCell="K8" sqref="K8"/>
    </sheetView>
  </sheetViews>
  <sheetFormatPr defaultRowHeight="14.5"/>
  <cols>
    <col min="1" max="1" width="37.453125" customWidth="1"/>
    <col min="2" max="2" width="11" customWidth="1"/>
    <col min="3" max="3" width="7.54296875" customWidth="1"/>
    <col min="4" max="5" width="10.36328125" customWidth="1"/>
    <col min="6" max="6" width="10.6328125" customWidth="1"/>
    <col min="7" max="7" width="10.54296875" customWidth="1"/>
    <col min="8" max="8" width="11.453125" customWidth="1"/>
    <col min="9" max="9" width="13" customWidth="1"/>
  </cols>
  <sheetData>
    <row r="1" spans="1:9">
      <c r="A1" s="340" t="s">
        <v>187</v>
      </c>
      <c r="B1" s="341"/>
      <c r="C1" s="341"/>
      <c r="D1" s="341"/>
      <c r="E1" s="341"/>
      <c r="F1" s="341"/>
      <c r="G1" s="341"/>
      <c r="H1" s="341"/>
      <c r="I1" s="341"/>
    </row>
    <row r="2" spans="1:9">
      <c r="A2" s="351"/>
      <c r="B2" s="181" t="s">
        <v>36</v>
      </c>
      <c r="C2" s="181" t="s">
        <v>50</v>
      </c>
      <c r="D2" s="181" t="str">
        <f>B2</f>
        <v>[MWh/rok]</v>
      </c>
      <c r="E2" s="181" t="s">
        <v>50</v>
      </c>
      <c r="F2" s="181" t="str">
        <f>D2</f>
        <v>[MWh/rok]</v>
      </c>
      <c r="G2" s="181" t="str">
        <f>C2</f>
        <v>[%]</v>
      </c>
      <c r="H2" s="196" t="str">
        <f>F2</f>
        <v>[MWh/rok]</v>
      </c>
      <c r="I2" s="196" t="str">
        <f>G2</f>
        <v>[%]</v>
      </c>
    </row>
    <row r="3" spans="1:9" ht="72" customHeight="1">
      <c r="A3" s="352"/>
      <c r="B3" s="335" t="s">
        <v>341</v>
      </c>
      <c r="C3" s="335"/>
      <c r="D3" s="336">
        <v>2020</v>
      </c>
      <c r="E3" s="338"/>
      <c r="F3" s="339" t="s">
        <v>338</v>
      </c>
      <c r="G3" s="339"/>
      <c r="H3" s="346" t="str">
        <f>'Prognozy podsumowanie'!H3</f>
        <v>2027- wariant docelowy- cel redukcji Gminy</v>
      </c>
      <c r="I3" s="347"/>
    </row>
    <row r="4" spans="1:9">
      <c r="A4" s="197" t="s">
        <v>343</v>
      </c>
      <c r="B4" s="344">
        <f>'Prognozy podsumowanie'!B9</f>
        <v>110098.99999999999</v>
      </c>
      <c r="C4" s="345"/>
      <c r="D4" s="344">
        <f>'Prognozy podsumowanie'!C9</f>
        <v>124883.93125761519</v>
      </c>
      <c r="E4" s="345"/>
      <c r="F4" s="344">
        <f>'Prognozy podsumowanie'!D9</f>
        <v>124883.93125761519</v>
      </c>
      <c r="G4" s="345"/>
      <c r="H4" s="344">
        <f>'Prognozy podsumowanie'!H9</f>
        <v>109374.33965968525</v>
      </c>
      <c r="I4" s="345"/>
    </row>
    <row r="5" spans="1:9">
      <c r="A5" s="348" t="s">
        <v>342</v>
      </c>
      <c r="B5" s="349"/>
      <c r="C5" s="349"/>
      <c r="D5" s="349"/>
      <c r="E5" s="349"/>
      <c r="F5" s="349"/>
      <c r="G5" s="349"/>
      <c r="H5" s="349"/>
      <c r="I5" s="350"/>
    </row>
    <row r="6" spans="1:9" ht="87">
      <c r="A6" s="194"/>
      <c r="B6" s="195" t="s">
        <v>52</v>
      </c>
      <c r="C6" s="195" t="s">
        <v>53</v>
      </c>
      <c r="D6" s="195" t="s">
        <v>52</v>
      </c>
      <c r="E6" s="195" t="str">
        <f>C6</f>
        <v>Udział OZE</v>
      </c>
      <c r="F6" s="195" t="s">
        <v>52</v>
      </c>
      <c r="G6" s="195" t="s">
        <v>53</v>
      </c>
      <c r="H6" s="195" t="s">
        <v>62</v>
      </c>
      <c r="I6" s="195" t="s">
        <v>54</v>
      </c>
    </row>
    <row r="7" spans="1:9">
      <c r="A7" s="342" t="s">
        <v>55</v>
      </c>
      <c r="B7" s="343"/>
      <c r="C7" s="343"/>
      <c r="D7" s="343"/>
      <c r="E7" s="343"/>
      <c r="F7" s="343"/>
      <c r="G7" s="343"/>
      <c r="H7" s="343"/>
      <c r="I7" s="343"/>
    </row>
    <row r="8" spans="1:9">
      <c r="A8" s="193" t="s">
        <v>65</v>
      </c>
      <c r="B8" s="33">
        <f>'SEKTORY I ŹRÓDŁA EMISJI '!B8</f>
        <v>13</v>
      </c>
      <c r="C8" s="34">
        <f>B8/$B$4</f>
        <v>1.1807555018665021E-4</v>
      </c>
      <c r="D8" s="33">
        <f>'SEKTORY I ŹRÓDŁA EMISJI '!B20</f>
        <v>13</v>
      </c>
      <c r="E8" s="57">
        <f>D8/D4</f>
        <v>1.0409665894632288E-4</v>
      </c>
      <c r="F8" s="33">
        <f>D8</f>
        <v>13</v>
      </c>
      <c r="G8" s="35">
        <f>F8/$F$4</f>
        <v>1.0409665894632288E-4</v>
      </c>
      <c r="H8" s="36">
        <f>'PLAN DZIAŁAŃ do roku 2027'!E6</f>
        <v>1101.066</v>
      </c>
      <c r="I8" s="192">
        <f>(B8+H8)/$H$4</f>
        <v>1.0185807781481293E-2</v>
      </c>
    </row>
    <row r="9" spans="1:9">
      <c r="A9" s="182" t="s">
        <v>28</v>
      </c>
      <c r="B9" s="33">
        <f>'SEKTORY I ŹRÓDŁA EMISJI '!D8</f>
        <v>48911.39</v>
      </c>
      <c r="C9" s="34">
        <f>B9/$B$4</f>
        <v>0.44424917574183242</v>
      </c>
      <c r="D9" s="33">
        <f>'SEKTORY I ŹRÓDŁA EMISJI '!D20</f>
        <v>60154.375617977523</v>
      </c>
      <c r="E9" s="57">
        <f>D9/D4</f>
        <v>0.48168227098720057</v>
      </c>
      <c r="F9" s="33">
        <f>D9</f>
        <v>60154.375617977523</v>
      </c>
      <c r="G9" s="35">
        <f>F9/$F$4</f>
        <v>0.48168227098720057</v>
      </c>
      <c r="H9" s="36">
        <f>'PLAN DZIAŁAŃ do roku 2027'!E14</f>
        <v>4773.2020092658422</v>
      </c>
      <c r="I9" s="192">
        <f>(B9+H9)/$H$4</f>
        <v>0.49083351887018223</v>
      </c>
    </row>
    <row r="10" spans="1:9">
      <c r="A10" s="182" t="s">
        <v>170</v>
      </c>
      <c r="B10" s="208">
        <f>'SEKTORY I ŹRÓDŁA EMISJI '!F8</f>
        <v>1183.23</v>
      </c>
      <c r="C10" s="34">
        <f>B10/$B$4</f>
        <v>1.074696409595001E-2</v>
      </c>
      <c r="D10" s="33">
        <f>'SEKTORY I ŹRÓDŁA EMISJI '!F20</f>
        <v>2754.0698275862069</v>
      </c>
      <c r="E10" s="57">
        <f>D10/D4</f>
        <v>2.2053035965892281E-2</v>
      </c>
      <c r="F10" s="33">
        <f>D10</f>
        <v>2754.0698275862069</v>
      </c>
      <c r="G10" s="35">
        <f>F10/$F$4</f>
        <v>2.2053035965892281E-2</v>
      </c>
      <c r="H10" s="37">
        <f>'PLAN DZIAŁAŃ do roku 2027'!E15</f>
        <v>166.19605681580589</v>
      </c>
      <c r="I10" s="192">
        <f>(B10+H10)/$H$4</f>
        <v>1.2337684149815228E-2</v>
      </c>
    </row>
    <row r="11" spans="1:9">
      <c r="A11" s="182" t="s">
        <v>56</v>
      </c>
      <c r="B11" s="187">
        <f>SUM(B8:B10)</f>
        <v>50107.62</v>
      </c>
      <c r="C11" s="188">
        <f>B11/$B$4</f>
        <v>0.45511421538796909</v>
      </c>
      <c r="D11" s="189">
        <f>SUM(D8:D10)</f>
        <v>62921.445445563731</v>
      </c>
      <c r="E11" s="190">
        <f>D11/D4</f>
        <v>0.50383940361203916</v>
      </c>
      <c r="F11" s="189">
        <f>SUM(F8:F10)</f>
        <v>62921.445445563731</v>
      </c>
      <c r="G11" s="191">
        <f>F11/$F$4</f>
        <v>0.50383940361203916</v>
      </c>
      <c r="H11" s="189">
        <f>SUM(H8:H10)</f>
        <v>6040.4640660816476</v>
      </c>
      <c r="I11" s="192">
        <f>(B11+H11)/$H$4</f>
        <v>0.51335701080147877</v>
      </c>
    </row>
    <row r="12" spans="1:9">
      <c r="H12" s="52"/>
    </row>
    <row r="13" spans="1:9" ht="15.65" customHeight="1">
      <c r="A13" s="339" t="s">
        <v>348</v>
      </c>
      <c r="B13" s="339"/>
      <c r="C13" s="339"/>
      <c r="D13" s="339"/>
      <c r="E13" s="339"/>
      <c r="F13" s="339"/>
      <c r="G13" s="339"/>
      <c r="H13" s="339"/>
      <c r="I13" s="186">
        <f>I11-C11</f>
        <v>5.8242795413509685E-2</v>
      </c>
    </row>
    <row r="14" spans="1:9">
      <c r="I14" s="277"/>
    </row>
    <row r="17" spans="8:8">
      <c r="H17" s="52"/>
    </row>
  </sheetData>
  <mergeCells count="13">
    <mergeCell ref="A13:H13"/>
    <mergeCell ref="A1:I1"/>
    <mergeCell ref="A7:I7"/>
    <mergeCell ref="B3:C3"/>
    <mergeCell ref="F3:G3"/>
    <mergeCell ref="B4:C4"/>
    <mergeCell ref="F4:G4"/>
    <mergeCell ref="D3:E3"/>
    <mergeCell ref="D4:E4"/>
    <mergeCell ref="H3:I3"/>
    <mergeCell ref="H4:I4"/>
    <mergeCell ref="A5:I5"/>
    <mergeCell ref="A2:A3"/>
  </mergeCells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09"/>
  <sheetViews>
    <sheetView view="pageBreakPreview" topLeftCell="A77" zoomScale="60" zoomScaleNormal="60" workbookViewId="0">
      <selection activeCell="K105" sqref="K105"/>
    </sheetView>
  </sheetViews>
  <sheetFormatPr defaultRowHeight="14.5"/>
  <cols>
    <col min="1" max="1" width="21.7265625" customWidth="1"/>
    <col min="2" max="2" width="11.81640625" customWidth="1"/>
    <col min="3" max="3" width="12.453125" customWidth="1"/>
    <col min="4" max="4" width="12.36328125" customWidth="1"/>
    <col min="6" max="6" width="16.81640625" customWidth="1"/>
    <col min="7" max="7" width="13.90625" customWidth="1"/>
    <col min="8" max="8" width="16.26953125" customWidth="1"/>
    <col min="9" max="9" width="15.453125" customWidth="1"/>
    <col min="10" max="10" width="17.36328125" customWidth="1"/>
    <col min="11" max="11" width="12.7265625" customWidth="1"/>
    <col min="12" max="12" width="12" customWidth="1"/>
    <col min="14" max="14" width="21" customWidth="1"/>
    <col min="15" max="16" width="11.6328125" customWidth="1"/>
    <col min="17" max="17" width="12.36328125" customWidth="1"/>
    <col min="18" max="18" width="12.08984375" customWidth="1"/>
    <col min="19" max="19" width="11.90625" customWidth="1"/>
    <col min="20" max="20" width="13.08984375" customWidth="1"/>
  </cols>
  <sheetData>
    <row r="1" spans="1:9" ht="26">
      <c r="A1" s="156" t="s">
        <v>144</v>
      </c>
    </row>
    <row r="2" spans="1:9">
      <c r="A2" t="s">
        <v>145</v>
      </c>
    </row>
    <row r="3" spans="1:9">
      <c r="A3" s="97" t="s">
        <v>188</v>
      </c>
    </row>
    <row r="4" spans="1:9" ht="71" customHeight="1">
      <c r="A4" s="158" t="s">
        <v>142</v>
      </c>
      <c r="B4" s="356" t="s">
        <v>138</v>
      </c>
      <c r="C4" s="356"/>
      <c r="D4" s="356"/>
      <c r="E4" s="356"/>
      <c r="F4" s="158" t="s">
        <v>139</v>
      </c>
      <c r="G4" s="159" t="s">
        <v>143</v>
      </c>
      <c r="H4" s="159" t="s">
        <v>140</v>
      </c>
      <c r="I4" s="159" t="s">
        <v>141</v>
      </c>
    </row>
    <row r="5" spans="1:9">
      <c r="A5" s="157"/>
      <c r="B5" s="353"/>
      <c r="C5" s="353"/>
      <c r="D5" s="353"/>
      <c r="E5" s="353"/>
      <c r="F5" s="157"/>
      <c r="G5" s="157"/>
      <c r="H5" s="157"/>
      <c r="I5" s="157"/>
    </row>
    <row r="6" spans="1:9">
      <c r="A6" s="157"/>
      <c r="B6" s="353"/>
      <c r="C6" s="353"/>
      <c r="D6" s="353"/>
      <c r="E6" s="353"/>
      <c r="F6" s="157"/>
      <c r="G6" s="157"/>
      <c r="H6" s="157"/>
      <c r="I6" s="157"/>
    </row>
    <row r="7" spans="1:9">
      <c r="A7" s="157"/>
      <c r="B7" s="353"/>
      <c r="C7" s="353"/>
      <c r="D7" s="353"/>
      <c r="E7" s="353"/>
      <c r="F7" s="157"/>
      <c r="G7" s="157"/>
      <c r="H7" s="157"/>
      <c r="I7" s="157"/>
    </row>
    <row r="8" spans="1:9">
      <c r="A8" s="157"/>
      <c r="B8" s="353"/>
      <c r="C8" s="353"/>
      <c r="D8" s="353"/>
      <c r="E8" s="353"/>
      <c r="F8" s="157"/>
      <c r="G8" s="157"/>
      <c r="H8" s="157"/>
      <c r="I8" s="157"/>
    </row>
    <row r="9" spans="1:9">
      <c r="A9" s="157"/>
      <c r="B9" s="353"/>
      <c r="C9" s="353"/>
      <c r="D9" s="353"/>
      <c r="E9" s="353"/>
      <c r="F9" s="157"/>
      <c r="G9" s="157"/>
      <c r="H9" s="157"/>
      <c r="I9" s="157"/>
    </row>
    <row r="10" spans="1:9">
      <c r="A10" s="157"/>
      <c r="B10" s="353"/>
      <c r="C10" s="353"/>
      <c r="D10" s="353"/>
      <c r="E10" s="353"/>
      <c r="F10" s="157"/>
      <c r="G10" s="157"/>
      <c r="H10" s="157"/>
      <c r="I10" s="157"/>
    </row>
    <row r="11" spans="1:9">
      <c r="A11" s="157"/>
      <c r="B11" s="353"/>
      <c r="C11" s="353"/>
      <c r="D11" s="353"/>
      <c r="E11" s="353"/>
      <c r="F11" s="157"/>
      <c r="G11" s="157"/>
      <c r="H11" s="157"/>
      <c r="I11" s="157"/>
    </row>
    <row r="12" spans="1:9">
      <c r="A12" s="157"/>
      <c r="B12" s="353"/>
      <c r="C12" s="353"/>
      <c r="D12" s="353"/>
      <c r="E12" s="353"/>
      <c r="F12" s="157"/>
      <c r="G12" s="157"/>
      <c r="H12" s="157"/>
      <c r="I12" s="157"/>
    </row>
    <row r="13" spans="1:9">
      <c r="A13" s="157"/>
      <c r="B13" s="353"/>
      <c r="C13" s="353"/>
      <c r="D13" s="353"/>
      <c r="E13" s="353"/>
      <c r="F13" s="157"/>
      <c r="G13" s="157"/>
      <c r="H13" s="157"/>
      <c r="I13" s="157"/>
    </row>
    <row r="14" spans="1:9">
      <c r="A14" s="157"/>
      <c r="B14" s="353"/>
      <c r="C14" s="353"/>
      <c r="D14" s="353"/>
      <c r="E14" s="353"/>
      <c r="F14" s="157"/>
      <c r="G14" s="157"/>
      <c r="H14" s="157"/>
      <c r="I14" s="157"/>
    </row>
    <row r="15" spans="1:9">
      <c r="A15" s="157"/>
      <c r="B15" s="353"/>
      <c r="C15" s="353"/>
      <c r="D15" s="353"/>
      <c r="E15" s="353"/>
      <c r="F15" s="157"/>
      <c r="G15" s="157"/>
      <c r="H15" s="157"/>
      <c r="I15" s="157"/>
    </row>
    <row r="16" spans="1:9">
      <c r="A16" s="157"/>
      <c r="B16" s="353"/>
      <c r="C16" s="353"/>
      <c r="D16" s="353"/>
      <c r="E16" s="353"/>
      <c r="F16" s="157"/>
      <c r="G16" s="157"/>
      <c r="H16" s="157"/>
      <c r="I16" s="157"/>
    </row>
    <row r="17" spans="1:20">
      <c r="A17" s="157"/>
      <c r="B17" s="353"/>
      <c r="C17" s="353"/>
      <c r="D17" s="353"/>
      <c r="E17" s="353"/>
      <c r="F17" s="157"/>
      <c r="G17" s="157"/>
      <c r="H17" s="157"/>
      <c r="I17" s="157"/>
    </row>
    <row r="18" spans="1:20">
      <c r="A18" s="157"/>
      <c r="B18" s="353"/>
      <c r="C18" s="353"/>
      <c r="D18" s="353"/>
      <c r="E18" s="353"/>
      <c r="F18" s="157"/>
      <c r="G18" s="157"/>
      <c r="H18" s="157"/>
      <c r="I18" s="157"/>
    </row>
    <row r="19" spans="1:20">
      <c r="A19" s="157"/>
      <c r="B19" s="353"/>
      <c r="C19" s="353"/>
      <c r="D19" s="353"/>
      <c r="E19" s="353"/>
      <c r="F19" s="157"/>
      <c r="G19" s="157"/>
      <c r="H19" s="157"/>
      <c r="I19" s="157"/>
    </row>
    <row r="20" spans="1:20">
      <c r="A20" s="157"/>
      <c r="B20" s="353"/>
      <c r="C20" s="353"/>
      <c r="D20" s="353"/>
      <c r="E20" s="353"/>
      <c r="F20" s="157"/>
      <c r="G20" s="157"/>
      <c r="H20" s="157"/>
      <c r="I20" s="157"/>
    </row>
    <row r="21" spans="1:20">
      <c r="A21" s="157"/>
      <c r="B21" s="353"/>
      <c r="C21" s="353"/>
      <c r="D21" s="353"/>
      <c r="E21" s="353"/>
      <c r="F21" s="157"/>
      <c r="G21" s="157"/>
      <c r="H21" s="157"/>
      <c r="I21" s="157"/>
    </row>
    <row r="22" spans="1:20">
      <c r="A22" s="157"/>
      <c r="B22" s="353"/>
      <c r="C22" s="353"/>
      <c r="D22" s="353"/>
      <c r="E22" s="353"/>
      <c r="F22" s="157"/>
      <c r="G22" s="157"/>
      <c r="H22" s="157"/>
      <c r="I22" s="157"/>
    </row>
    <row r="23" spans="1:20">
      <c r="A23" s="157"/>
      <c r="B23" s="353"/>
      <c r="C23" s="353"/>
      <c r="D23" s="353"/>
      <c r="E23" s="353"/>
      <c r="F23" s="157"/>
      <c r="G23" s="157"/>
      <c r="H23" s="157"/>
      <c r="I23" s="157"/>
    </row>
    <row r="26" spans="1:20">
      <c r="A26" t="s">
        <v>146</v>
      </c>
    </row>
    <row r="27" spans="1:20" ht="15" thickBot="1">
      <c r="A27" s="140" t="s">
        <v>99</v>
      </c>
    </row>
    <row r="28" spans="1:20" ht="41" customHeight="1">
      <c r="A28" s="361" t="s">
        <v>11</v>
      </c>
      <c r="B28" s="362" t="s">
        <v>12</v>
      </c>
      <c r="C28" s="362"/>
      <c r="D28" s="362" t="s">
        <v>13</v>
      </c>
      <c r="E28" s="362"/>
      <c r="H28" s="357" t="s">
        <v>105</v>
      </c>
      <c r="I28" s="115" t="s">
        <v>106</v>
      </c>
      <c r="J28" s="116" t="s">
        <v>107</v>
      </c>
      <c r="K28" s="115" t="s">
        <v>108</v>
      </c>
      <c r="L28" s="116" t="s">
        <v>117</v>
      </c>
      <c r="N28" s="354" t="s">
        <v>124</v>
      </c>
      <c r="O28" s="130" t="s">
        <v>106</v>
      </c>
      <c r="P28" s="131" t="s">
        <v>119</v>
      </c>
      <c r="Q28" s="131" t="s">
        <v>107</v>
      </c>
      <c r="R28" s="131" t="s">
        <v>125</v>
      </c>
      <c r="S28" s="131" t="s">
        <v>108</v>
      </c>
      <c r="T28" s="132" t="s">
        <v>117</v>
      </c>
    </row>
    <row r="29" spans="1:20">
      <c r="A29" s="361"/>
      <c r="B29" s="94" t="s">
        <v>3</v>
      </c>
      <c r="C29" s="94" t="s">
        <v>2</v>
      </c>
      <c r="D29" s="94" t="s">
        <v>1</v>
      </c>
      <c r="E29" s="94" t="s">
        <v>4</v>
      </c>
      <c r="H29" s="358"/>
      <c r="I29" s="117" t="s">
        <v>36</v>
      </c>
      <c r="J29" s="118" t="s">
        <v>36</v>
      </c>
      <c r="K29" s="117" t="s">
        <v>36</v>
      </c>
      <c r="L29" s="118" t="s">
        <v>118</v>
      </c>
      <c r="N29" s="355"/>
      <c r="O29" s="133" t="s">
        <v>36</v>
      </c>
      <c r="P29" s="103" t="s">
        <v>118</v>
      </c>
      <c r="Q29" s="103" t="s">
        <v>36</v>
      </c>
      <c r="R29" s="103" t="s">
        <v>118</v>
      </c>
      <c r="S29" s="103" t="s">
        <v>36</v>
      </c>
      <c r="T29" s="134" t="s">
        <v>118</v>
      </c>
    </row>
    <row r="30" spans="1:20">
      <c r="A30" s="10" t="s">
        <v>5</v>
      </c>
      <c r="B30" s="12">
        <f>C30/3.6</f>
        <v>6.2277777777777779</v>
      </c>
      <c r="C30" s="121">
        <v>22.42</v>
      </c>
      <c r="D30" s="12">
        <f>E30/0.227</f>
        <v>0.4175330396475771</v>
      </c>
      <c r="E30" s="124">
        <f>0.09478</f>
        <v>9.4780000000000003E-2</v>
      </c>
      <c r="H30" s="104" t="s">
        <v>5</v>
      </c>
      <c r="I30" s="109">
        <f>Podsumowanie!B36</f>
        <v>20469.318566525475</v>
      </c>
      <c r="J30" s="119"/>
      <c r="K30" s="109">
        <f>I30-J30</f>
        <v>20469.318566525475</v>
      </c>
      <c r="L30" s="107">
        <f>K30*D30</f>
        <v>8546.616800595968</v>
      </c>
      <c r="N30" s="141" t="str">
        <f>Podsumowanie!A5</f>
        <v>Obiekty publiczne</v>
      </c>
      <c r="O30" s="135">
        <f>Podsumowanie!B5</f>
        <v>1965.37</v>
      </c>
      <c r="P30" s="106">
        <f>Podsumowanie!C5</f>
        <v>574.51048000000003</v>
      </c>
      <c r="Q30" s="142"/>
      <c r="R30" s="142"/>
      <c r="S30" s="106">
        <f t="shared" ref="S30:T33" si="0">O30-Q30</f>
        <v>1965.37</v>
      </c>
      <c r="T30" s="136">
        <f t="shared" si="0"/>
        <v>574.51048000000003</v>
      </c>
    </row>
    <row r="31" spans="1:20">
      <c r="A31" s="10" t="s">
        <v>9</v>
      </c>
      <c r="B31" s="12">
        <f t="shared" ref="B31:B36" si="1">C31/3.6</f>
        <v>13.333333333333332</v>
      </c>
      <c r="C31" s="121">
        <v>48</v>
      </c>
      <c r="D31" s="12">
        <f t="shared" ref="D31:D36" si="2">E31/0.227</f>
        <v>0.24374449339207047</v>
      </c>
      <c r="E31" s="124">
        <v>5.5329999999999997E-2</v>
      </c>
      <c r="H31" s="104" t="s">
        <v>9</v>
      </c>
      <c r="I31" s="109">
        <f>Podsumowanie!B37</f>
        <v>11293.823</v>
      </c>
      <c r="J31" s="119"/>
      <c r="K31" s="109">
        <f t="shared" ref="K31:K37" si="3">I31-J31</f>
        <v>11293.823</v>
      </c>
      <c r="L31" s="107">
        <f>K31*D31</f>
        <v>2752.8071655947133</v>
      </c>
      <c r="N31" s="141" t="str">
        <f>Podsumowanie!A6</f>
        <v>Obiekty mieszkalne</v>
      </c>
      <c r="O31" s="135">
        <f>Podsumowanie!B6</f>
        <v>86755.459999999992</v>
      </c>
      <c r="P31" s="106">
        <f>Podsumowanie!C6</f>
        <v>15460.69291</v>
      </c>
      <c r="Q31" s="142"/>
      <c r="R31" s="142"/>
      <c r="S31" s="106">
        <f t="shared" si="0"/>
        <v>86755.459999999992</v>
      </c>
      <c r="T31" s="136">
        <f t="shared" si="0"/>
        <v>15460.69291</v>
      </c>
    </row>
    <row r="32" spans="1:20">
      <c r="A32" s="10" t="s">
        <v>8</v>
      </c>
      <c r="B32" s="12">
        <f t="shared" si="1"/>
        <v>11.222222222222221</v>
      </c>
      <c r="C32" s="121">
        <v>40.4</v>
      </c>
      <c r="D32" s="12">
        <f t="shared" si="2"/>
        <v>0.34096916299559471</v>
      </c>
      <c r="E32" s="124">
        <v>7.7399999999999997E-2</v>
      </c>
      <c r="H32" s="104" t="s">
        <v>8</v>
      </c>
      <c r="I32" s="109">
        <f>Podsumowanie!B38</f>
        <v>0</v>
      </c>
      <c r="J32" s="119"/>
      <c r="K32" s="109">
        <f t="shared" si="3"/>
        <v>0</v>
      </c>
      <c r="L32" s="107">
        <f>K32*D32</f>
        <v>0</v>
      </c>
      <c r="N32" s="141" t="str">
        <f>Podsumowanie!A7</f>
        <v>Transport</v>
      </c>
      <c r="O32" s="135">
        <f>Podsumowanie!B7</f>
        <v>17108.849999999999</v>
      </c>
      <c r="P32" s="106">
        <f>Podsumowanie!C7</f>
        <v>4259.50486</v>
      </c>
      <c r="Q32" s="142"/>
      <c r="R32" s="142"/>
      <c r="S32" s="106">
        <f t="shared" si="0"/>
        <v>17108.849999999999</v>
      </c>
      <c r="T32" s="136">
        <f t="shared" si="0"/>
        <v>4259.50486</v>
      </c>
    </row>
    <row r="33" spans="1:20" ht="15" thickBot="1">
      <c r="A33" s="10" t="s">
        <v>58</v>
      </c>
      <c r="B33" s="12">
        <f t="shared" si="1"/>
        <v>4.333333333333333</v>
      </c>
      <c r="C33" s="121">
        <v>15.6</v>
      </c>
      <c r="D33" s="12">
        <f t="shared" si="2"/>
        <v>0</v>
      </c>
      <c r="E33" s="124">
        <v>0</v>
      </c>
      <c r="H33" s="104" t="s">
        <v>58</v>
      </c>
      <c r="I33" s="109">
        <f>Podsumowanie!B39</f>
        <v>62921.445445563731</v>
      </c>
      <c r="J33" s="119"/>
      <c r="K33" s="109">
        <f t="shared" si="3"/>
        <v>62921.445445563731</v>
      </c>
      <c r="L33" s="107">
        <f>K33*D33</f>
        <v>0</v>
      </c>
      <c r="N33" s="105" t="str">
        <f>Podsumowanie!A8</f>
        <v>Usługi, handel</v>
      </c>
      <c r="O33" s="135">
        <f>Podsumowanie!B8</f>
        <v>3890.34</v>
      </c>
      <c r="P33" s="106">
        <f>Podsumowanie!C8</f>
        <v>1434.4318600000001</v>
      </c>
      <c r="Q33" s="154"/>
      <c r="R33" s="154"/>
      <c r="S33" s="153">
        <f t="shared" si="0"/>
        <v>3890.34</v>
      </c>
      <c r="T33" s="155">
        <f t="shared" si="0"/>
        <v>1434.4318600000001</v>
      </c>
    </row>
    <row r="34" spans="1:20" ht="15" thickBot="1">
      <c r="A34" s="10" t="s">
        <v>6</v>
      </c>
      <c r="B34" s="12">
        <f t="shared" si="1"/>
        <v>11.944444444444445</v>
      </c>
      <c r="C34" s="121">
        <v>43</v>
      </c>
      <c r="D34" s="12">
        <f t="shared" si="2"/>
        <v>0.32643171806167398</v>
      </c>
      <c r="E34" s="124">
        <v>7.4099999999999999E-2</v>
      </c>
      <c r="H34" s="104" t="s">
        <v>14</v>
      </c>
      <c r="I34" s="109">
        <f>Podsumowanie!B40</f>
        <v>10933.084445859873</v>
      </c>
      <c r="J34" s="119"/>
      <c r="K34" s="109">
        <f t="shared" si="3"/>
        <v>10933.084445859873</v>
      </c>
      <c r="L34" s="107">
        <f>K34*D37</f>
        <v>8363.8096010828031</v>
      </c>
      <c r="O34" s="144">
        <f t="shared" ref="O34:T34" si="4">SUM(O30:O33)</f>
        <v>109720.01999999999</v>
      </c>
      <c r="P34" s="145">
        <f t="shared" si="4"/>
        <v>21729.14011</v>
      </c>
      <c r="Q34" s="145">
        <f t="shared" si="4"/>
        <v>0</v>
      </c>
      <c r="R34" s="145">
        <f t="shared" si="4"/>
        <v>0</v>
      </c>
      <c r="S34" s="145">
        <f t="shared" si="4"/>
        <v>109720.01999999999</v>
      </c>
      <c r="T34" s="146">
        <f t="shared" si="4"/>
        <v>21729.14011</v>
      </c>
    </row>
    <row r="35" spans="1:20">
      <c r="A35" s="10" t="s">
        <v>7</v>
      </c>
      <c r="B35" s="12">
        <f t="shared" si="1"/>
        <v>12.305555555555554</v>
      </c>
      <c r="C35" s="121">
        <v>44.3</v>
      </c>
      <c r="D35" s="12">
        <f t="shared" si="2"/>
        <v>0.30528634361233481</v>
      </c>
      <c r="E35" s="124">
        <v>6.93E-2</v>
      </c>
      <c r="H35" s="104" t="s">
        <v>10</v>
      </c>
      <c r="I35" s="109">
        <f>Podsumowanie!B41</f>
        <v>3444.5117863105179</v>
      </c>
      <c r="J35" s="119"/>
      <c r="K35" s="109">
        <f t="shared" si="3"/>
        <v>3444.5117863105179</v>
      </c>
      <c r="L35" s="107">
        <f>K35*D36</f>
        <v>957.48323222992803</v>
      </c>
    </row>
    <row r="36" spans="1:20">
      <c r="A36" s="10" t="s">
        <v>10</v>
      </c>
      <c r="B36" s="12">
        <f t="shared" si="1"/>
        <v>13.138888888888888</v>
      </c>
      <c r="C36" s="121">
        <v>47.3</v>
      </c>
      <c r="D36" s="12">
        <f t="shared" si="2"/>
        <v>0.27797356828193831</v>
      </c>
      <c r="E36" s="124">
        <v>6.3100000000000003E-2</v>
      </c>
      <c r="H36" s="104" t="s">
        <v>6</v>
      </c>
      <c r="I36" s="109">
        <f>Podsumowanie!B42</f>
        <v>6684.5577673900943</v>
      </c>
      <c r="J36" s="119"/>
      <c r="K36" s="109">
        <f t="shared" si="3"/>
        <v>6684.5577673900943</v>
      </c>
      <c r="L36" s="107">
        <f>K36*D34</f>
        <v>2182.0516764916561</v>
      </c>
    </row>
    <row r="37" spans="1:20">
      <c r="A37" s="10" t="s">
        <v>14</v>
      </c>
      <c r="B37" s="12" t="s">
        <v>15</v>
      </c>
      <c r="C37" s="121" t="s">
        <v>15</v>
      </c>
      <c r="D37" s="121">
        <v>0.76500000000000001</v>
      </c>
      <c r="E37" s="125">
        <f>0.277*D37</f>
        <v>0.21190500000000001</v>
      </c>
      <c r="H37" s="104" t="s">
        <v>25</v>
      </c>
      <c r="I37" s="109">
        <f>Podsumowanie!B43</f>
        <v>9137.1902459654975</v>
      </c>
      <c r="J37" s="119"/>
      <c r="K37" s="109">
        <f t="shared" si="3"/>
        <v>9137.1902459654975</v>
      </c>
      <c r="L37" s="107">
        <f>K37*D35</f>
        <v>2789.459401081097</v>
      </c>
    </row>
    <row r="38" spans="1:20" ht="15" thickBot="1">
      <c r="A38" s="101" t="s">
        <v>101</v>
      </c>
      <c r="B38" s="102"/>
      <c r="C38" s="102"/>
      <c r="D38" s="102"/>
      <c r="E38" s="102"/>
      <c r="H38" s="105" t="s">
        <v>95</v>
      </c>
      <c r="I38" s="110"/>
      <c r="J38" s="119"/>
      <c r="K38" s="110"/>
      <c r="L38" s="107"/>
    </row>
    <row r="39" spans="1:20" ht="15" thickBot="1">
      <c r="A39" s="100"/>
      <c r="B39" s="102"/>
      <c r="C39" s="102"/>
      <c r="D39" s="102"/>
      <c r="E39" s="102"/>
      <c r="I39" s="112">
        <f>SUM(I30:I38)</f>
        <v>124883.93125761519</v>
      </c>
      <c r="J39" s="113">
        <f>SUM(J30:J38)</f>
        <v>0</v>
      </c>
      <c r="K39" s="123">
        <f>SUM(K30:K38)</f>
        <v>124883.93125761519</v>
      </c>
      <c r="L39" s="114">
        <f>SUM(L30:L38)</f>
        <v>25592.227877076166</v>
      </c>
    </row>
    <row r="40" spans="1:20" ht="15" thickBot="1">
      <c r="A40" s="99" t="s">
        <v>100</v>
      </c>
    </row>
    <row r="41" spans="1:20" ht="58">
      <c r="A41" s="361" t="s">
        <v>11</v>
      </c>
      <c r="B41" s="362" t="s">
        <v>12</v>
      </c>
      <c r="C41" s="362"/>
      <c r="D41" s="362" t="s">
        <v>13</v>
      </c>
      <c r="E41" s="362"/>
      <c r="H41" s="357" t="s">
        <v>105</v>
      </c>
      <c r="I41" s="115" t="s">
        <v>108</v>
      </c>
      <c r="J41" s="116" t="s">
        <v>109</v>
      </c>
      <c r="K41" s="116" t="s">
        <v>110</v>
      </c>
      <c r="L41" s="116" t="s">
        <v>117</v>
      </c>
      <c r="N41" s="354" t="s">
        <v>124</v>
      </c>
      <c r="O41" s="130" t="s">
        <v>108</v>
      </c>
      <c r="P41" s="131" t="s">
        <v>126</v>
      </c>
      <c r="Q41" s="131" t="s">
        <v>109</v>
      </c>
      <c r="R41" s="131" t="s">
        <v>127</v>
      </c>
      <c r="S41" s="131" t="s">
        <v>110</v>
      </c>
      <c r="T41" s="132" t="s">
        <v>128</v>
      </c>
    </row>
    <row r="42" spans="1:20">
      <c r="A42" s="361"/>
      <c r="B42" s="94" t="s">
        <v>3</v>
      </c>
      <c r="C42" s="94" t="s">
        <v>2</v>
      </c>
      <c r="D42" s="94" t="s">
        <v>1</v>
      </c>
      <c r="E42" s="94" t="s">
        <v>4</v>
      </c>
      <c r="H42" s="358"/>
      <c r="I42" s="117" t="s">
        <v>36</v>
      </c>
      <c r="J42" s="118" t="s">
        <v>36</v>
      </c>
      <c r="K42" s="118" t="s">
        <v>36</v>
      </c>
      <c r="L42" s="118" t="s">
        <v>118</v>
      </c>
      <c r="N42" s="355"/>
      <c r="O42" s="133" t="s">
        <v>36</v>
      </c>
      <c r="P42" s="103" t="s">
        <v>118</v>
      </c>
      <c r="Q42" s="103" t="s">
        <v>36</v>
      </c>
      <c r="R42" s="103" t="s">
        <v>118</v>
      </c>
      <c r="S42" s="103" t="s">
        <v>36</v>
      </c>
      <c r="T42" s="134" t="s">
        <v>118</v>
      </c>
    </row>
    <row r="43" spans="1:20">
      <c r="A43" s="10" t="s">
        <v>5</v>
      </c>
      <c r="B43" s="12">
        <f>C43/3.6</f>
        <v>6.2277777777777779</v>
      </c>
      <c r="C43" s="121">
        <v>22.42</v>
      </c>
      <c r="D43" s="12">
        <f>E43/0.227</f>
        <v>0.4175330396475771</v>
      </c>
      <c r="E43" s="124">
        <f>0.09478</f>
        <v>9.4780000000000003E-2</v>
      </c>
      <c r="H43" s="104" t="s">
        <v>5</v>
      </c>
      <c r="I43" s="109">
        <f>K30</f>
        <v>20469.318566525475</v>
      </c>
      <c r="J43" s="119"/>
      <c r="K43" s="107">
        <f>I43-J43</f>
        <v>20469.318566525475</v>
      </c>
      <c r="L43" s="107">
        <f>K43*D43</f>
        <v>8546.616800595968</v>
      </c>
      <c r="N43" s="141" t="s">
        <v>27</v>
      </c>
      <c r="O43" s="135">
        <f t="shared" ref="O43:P46" si="5">S30</f>
        <v>1965.37</v>
      </c>
      <c r="P43" s="106">
        <f t="shared" si="5"/>
        <v>574.51048000000003</v>
      </c>
      <c r="Q43" s="142"/>
      <c r="R43" s="142"/>
      <c r="S43" s="106">
        <f t="shared" ref="S43:T46" si="6">O43-Q43</f>
        <v>1965.37</v>
      </c>
      <c r="T43" s="136">
        <f t="shared" si="6"/>
        <v>574.51048000000003</v>
      </c>
    </row>
    <row r="44" spans="1:20">
      <c r="A44" s="10" t="s">
        <v>9</v>
      </c>
      <c r="B44" s="12">
        <f t="shared" ref="B44:B49" si="7">C44/3.6</f>
        <v>13.333333333333332</v>
      </c>
      <c r="C44" s="121">
        <v>48</v>
      </c>
      <c r="D44" s="12">
        <f t="shared" ref="D44:D49" si="8">E44/0.227</f>
        <v>0.24374449339207047</v>
      </c>
      <c r="E44" s="124">
        <v>5.5329999999999997E-2</v>
      </c>
      <c r="H44" s="104" t="s">
        <v>9</v>
      </c>
      <c r="I44" s="109">
        <f t="shared" ref="I44:I50" si="9">K31</f>
        <v>11293.823</v>
      </c>
      <c r="J44" s="119"/>
      <c r="K44" s="107">
        <f t="shared" ref="K44:K50" si="10">I44-J44</f>
        <v>11293.823</v>
      </c>
      <c r="L44" s="107">
        <f>K44*D44</f>
        <v>2752.8071655947133</v>
      </c>
      <c r="N44" s="141" t="s">
        <v>28</v>
      </c>
      <c r="O44" s="135">
        <f t="shared" si="5"/>
        <v>86755.459999999992</v>
      </c>
      <c r="P44" s="106">
        <f t="shared" si="5"/>
        <v>15460.69291</v>
      </c>
      <c r="Q44" s="142"/>
      <c r="R44" s="142"/>
      <c r="S44" s="106">
        <f t="shared" si="6"/>
        <v>86755.459999999992</v>
      </c>
      <c r="T44" s="136">
        <f t="shared" si="6"/>
        <v>15460.69291</v>
      </c>
    </row>
    <row r="45" spans="1:20">
      <c r="A45" s="10" t="s">
        <v>8</v>
      </c>
      <c r="B45" s="12">
        <f t="shared" si="7"/>
        <v>11.222222222222221</v>
      </c>
      <c r="C45" s="121">
        <v>40.4</v>
      </c>
      <c r="D45" s="12">
        <f t="shared" si="8"/>
        <v>0.34096916299559471</v>
      </c>
      <c r="E45" s="124">
        <v>7.7399999999999997E-2</v>
      </c>
      <c r="H45" s="104" t="s">
        <v>8</v>
      </c>
      <c r="I45" s="109">
        <f t="shared" si="9"/>
        <v>0</v>
      </c>
      <c r="J45" s="119"/>
      <c r="K45" s="107">
        <f t="shared" si="10"/>
        <v>0</v>
      </c>
      <c r="L45" s="107">
        <f>K45*D45</f>
        <v>0</v>
      </c>
      <c r="N45" s="141" t="s">
        <v>29</v>
      </c>
      <c r="O45" s="135">
        <f t="shared" si="5"/>
        <v>17108.849999999999</v>
      </c>
      <c r="P45" s="106">
        <f t="shared" si="5"/>
        <v>4259.50486</v>
      </c>
      <c r="Q45" s="142"/>
      <c r="R45" s="142"/>
      <c r="S45" s="106">
        <f t="shared" si="6"/>
        <v>17108.849999999999</v>
      </c>
      <c r="T45" s="136">
        <f t="shared" si="6"/>
        <v>4259.50486</v>
      </c>
    </row>
    <row r="46" spans="1:20" ht="15" thickBot="1">
      <c r="A46" s="10" t="s">
        <v>58</v>
      </c>
      <c r="B46" s="12">
        <f t="shared" si="7"/>
        <v>4.333333333333333</v>
      </c>
      <c r="C46" s="121">
        <v>15.6</v>
      </c>
      <c r="D46" s="12">
        <f t="shared" si="8"/>
        <v>0</v>
      </c>
      <c r="E46" s="124">
        <v>0</v>
      </c>
      <c r="H46" s="104" t="s">
        <v>58</v>
      </c>
      <c r="I46" s="109">
        <f t="shared" si="9"/>
        <v>62921.445445563731</v>
      </c>
      <c r="J46" s="119"/>
      <c r="K46" s="107">
        <f t="shared" si="10"/>
        <v>62921.445445563731</v>
      </c>
      <c r="L46" s="107">
        <f>K46*D46</f>
        <v>0</v>
      </c>
      <c r="N46" s="105" t="s">
        <v>30</v>
      </c>
      <c r="O46" s="137">
        <f t="shared" si="5"/>
        <v>3890.34</v>
      </c>
      <c r="P46" s="126">
        <f t="shared" si="5"/>
        <v>1434.4318600000001</v>
      </c>
      <c r="Q46" s="151"/>
      <c r="R46" s="151"/>
      <c r="S46" s="126">
        <f t="shared" si="6"/>
        <v>3890.34</v>
      </c>
      <c r="T46" s="138">
        <f t="shared" si="6"/>
        <v>1434.4318600000001</v>
      </c>
    </row>
    <row r="47" spans="1:20" ht="15" thickBot="1">
      <c r="A47" s="10" t="s">
        <v>6</v>
      </c>
      <c r="B47" s="12">
        <f t="shared" si="7"/>
        <v>11.944444444444445</v>
      </c>
      <c r="C47" s="121">
        <v>43</v>
      </c>
      <c r="D47" s="12">
        <f t="shared" si="8"/>
        <v>0.32643171806167398</v>
      </c>
      <c r="E47" s="124">
        <v>7.4099999999999999E-2</v>
      </c>
      <c r="H47" s="104" t="s">
        <v>14</v>
      </c>
      <c r="I47" s="109">
        <f t="shared" si="9"/>
        <v>10933.084445859873</v>
      </c>
      <c r="J47" s="119"/>
      <c r="K47" s="107">
        <f t="shared" si="10"/>
        <v>10933.084445859873</v>
      </c>
      <c r="L47" s="107">
        <f>K47*D50</f>
        <v>8363.8096010828031</v>
      </c>
      <c r="O47" s="144">
        <f t="shared" ref="O47:T47" si="11">SUM(O43:O46)</f>
        <v>109720.01999999999</v>
      </c>
      <c r="P47" s="145">
        <f t="shared" si="11"/>
        <v>21729.14011</v>
      </c>
      <c r="Q47" s="145">
        <f t="shared" si="11"/>
        <v>0</v>
      </c>
      <c r="R47" s="145">
        <f t="shared" si="11"/>
        <v>0</v>
      </c>
      <c r="S47" s="145">
        <f t="shared" si="11"/>
        <v>109720.01999999999</v>
      </c>
      <c r="T47" s="146">
        <f t="shared" si="11"/>
        <v>21729.14011</v>
      </c>
    </row>
    <row r="48" spans="1:20">
      <c r="A48" s="10" t="s">
        <v>7</v>
      </c>
      <c r="B48" s="12">
        <f t="shared" si="7"/>
        <v>12.305555555555554</v>
      </c>
      <c r="C48" s="121">
        <v>44.3</v>
      </c>
      <c r="D48" s="12">
        <f t="shared" si="8"/>
        <v>0.30528634361233481</v>
      </c>
      <c r="E48" s="124">
        <v>6.93E-2</v>
      </c>
      <c r="H48" s="104" t="s">
        <v>10</v>
      </c>
      <c r="I48" s="109">
        <f t="shared" si="9"/>
        <v>3444.5117863105179</v>
      </c>
      <c r="J48" s="119"/>
      <c r="K48" s="107">
        <f t="shared" si="10"/>
        <v>3444.5117863105179</v>
      </c>
      <c r="L48" s="107">
        <f>K48*D49</f>
        <v>957.48323222992803</v>
      </c>
    </row>
    <row r="49" spans="1:20">
      <c r="A49" s="10" t="s">
        <v>10</v>
      </c>
      <c r="B49" s="12">
        <f t="shared" si="7"/>
        <v>13.138888888888888</v>
      </c>
      <c r="C49" s="121">
        <v>47.3</v>
      </c>
      <c r="D49" s="12">
        <f t="shared" si="8"/>
        <v>0.27797356828193831</v>
      </c>
      <c r="E49" s="124">
        <v>6.3100000000000003E-2</v>
      </c>
      <c r="H49" s="104" t="s">
        <v>6</v>
      </c>
      <c r="I49" s="109">
        <f t="shared" si="9"/>
        <v>6684.5577673900943</v>
      </c>
      <c r="J49" s="119"/>
      <c r="K49" s="107">
        <f t="shared" si="10"/>
        <v>6684.5577673900943</v>
      </c>
      <c r="L49" s="107">
        <f>K49*D47</f>
        <v>2182.0516764916561</v>
      </c>
    </row>
    <row r="50" spans="1:20">
      <c r="A50" s="10" t="s">
        <v>14</v>
      </c>
      <c r="B50" s="12" t="s">
        <v>15</v>
      </c>
      <c r="C50" s="121" t="s">
        <v>15</v>
      </c>
      <c r="D50" s="121">
        <v>0.76500000000000001</v>
      </c>
      <c r="E50" s="125">
        <f>0.277*D50</f>
        <v>0.21190500000000001</v>
      </c>
      <c r="H50" s="104" t="s">
        <v>25</v>
      </c>
      <c r="I50" s="109">
        <f t="shared" si="9"/>
        <v>9137.1902459654975</v>
      </c>
      <c r="J50" s="119"/>
      <c r="K50" s="107">
        <f t="shared" si="10"/>
        <v>9137.1902459654975</v>
      </c>
      <c r="L50" s="107">
        <f>K50*D48</f>
        <v>2789.459401081097</v>
      </c>
    </row>
    <row r="51" spans="1:20" ht="15" thickBot="1">
      <c r="A51" s="101" t="s">
        <v>101</v>
      </c>
      <c r="B51" s="102"/>
      <c r="C51" s="102"/>
      <c r="D51" s="102"/>
      <c r="E51" s="102"/>
      <c r="H51" s="105" t="s">
        <v>95</v>
      </c>
      <c r="I51" s="109"/>
      <c r="J51" s="120"/>
      <c r="K51" s="111"/>
      <c r="L51" s="107"/>
    </row>
    <row r="52" spans="1:20" ht="15" thickBot="1">
      <c r="A52" s="100"/>
      <c r="B52" s="102"/>
      <c r="C52" s="102"/>
      <c r="D52" s="102"/>
      <c r="E52" s="102"/>
      <c r="I52" s="112">
        <f>SUM(I43:I51)</f>
        <v>124883.93125761519</v>
      </c>
      <c r="J52" s="113">
        <f>SUM(J43:J51)</f>
        <v>0</v>
      </c>
      <c r="K52" s="114">
        <f>SUM(K43:K51)</f>
        <v>124883.93125761519</v>
      </c>
      <c r="L52" s="114">
        <f>SUM(L43:L51)</f>
        <v>25592.227877076166</v>
      </c>
    </row>
    <row r="53" spans="1:20" ht="15" thickBot="1">
      <c r="A53" s="99" t="s">
        <v>102</v>
      </c>
    </row>
    <row r="54" spans="1:20" ht="58">
      <c r="A54" s="361" t="s">
        <v>11</v>
      </c>
      <c r="B54" s="362" t="s">
        <v>12</v>
      </c>
      <c r="C54" s="362"/>
      <c r="D54" s="362" t="s">
        <v>13</v>
      </c>
      <c r="E54" s="362"/>
      <c r="H54" s="357" t="s">
        <v>105</v>
      </c>
      <c r="I54" s="115" t="s">
        <v>110</v>
      </c>
      <c r="J54" s="116" t="s">
        <v>111</v>
      </c>
      <c r="K54" s="116" t="s">
        <v>112</v>
      </c>
      <c r="L54" s="116" t="s">
        <v>117</v>
      </c>
      <c r="N54" s="354" t="s">
        <v>124</v>
      </c>
      <c r="O54" s="130" t="s">
        <v>110</v>
      </c>
      <c r="P54" s="131" t="s">
        <v>129</v>
      </c>
      <c r="Q54" s="131" t="s">
        <v>111</v>
      </c>
      <c r="R54" s="131" t="s">
        <v>130</v>
      </c>
      <c r="S54" s="131" t="s">
        <v>112</v>
      </c>
      <c r="T54" s="132" t="s">
        <v>131</v>
      </c>
    </row>
    <row r="55" spans="1:20">
      <c r="A55" s="361"/>
      <c r="B55" s="94" t="s">
        <v>3</v>
      </c>
      <c r="C55" s="94" t="s">
        <v>2</v>
      </c>
      <c r="D55" s="94" t="s">
        <v>1</v>
      </c>
      <c r="E55" s="94" t="s">
        <v>4</v>
      </c>
      <c r="H55" s="358"/>
      <c r="I55" s="117" t="s">
        <v>36</v>
      </c>
      <c r="J55" s="118" t="s">
        <v>36</v>
      </c>
      <c r="K55" s="118" t="s">
        <v>36</v>
      </c>
      <c r="L55" s="118" t="s">
        <v>118</v>
      </c>
      <c r="N55" s="355"/>
      <c r="O55" s="133" t="s">
        <v>36</v>
      </c>
      <c r="P55" s="103" t="s">
        <v>118</v>
      </c>
      <c r="Q55" s="103" t="s">
        <v>36</v>
      </c>
      <c r="R55" s="103" t="s">
        <v>118</v>
      </c>
      <c r="S55" s="103" t="s">
        <v>36</v>
      </c>
      <c r="T55" s="134" t="s">
        <v>118</v>
      </c>
    </row>
    <row r="56" spans="1:20">
      <c r="A56" s="10" t="s">
        <v>5</v>
      </c>
      <c r="B56" s="12">
        <f>C56/3.6</f>
        <v>6.2277777777777779</v>
      </c>
      <c r="C56" s="121">
        <v>22.42</v>
      </c>
      <c r="D56" s="12">
        <f>E56/0.227</f>
        <v>0.4175330396475771</v>
      </c>
      <c r="E56" s="124">
        <f>0.09478</f>
        <v>9.4780000000000003E-2</v>
      </c>
      <c r="H56" s="104" t="s">
        <v>5</v>
      </c>
      <c r="I56" s="109">
        <f>K43</f>
        <v>20469.318566525475</v>
      </c>
      <c r="J56" s="119"/>
      <c r="K56" s="107">
        <f>I56-J56</f>
        <v>20469.318566525475</v>
      </c>
      <c r="L56" s="107">
        <f>K56*D56</f>
        <v>8546.616800595968</v>
      </c>
      <c r="N56" s="141" t="s">
        <v>27</v>
      </c>
      <c r="O56" s="135">
        <f t="shared" ref="O56:P59" si="12">S43</f>
        <v>1965.37</v>
      </c>
      <c r="P56" s="106">
        <f t="shared" si="12"/>
        <v>574.51048000000003</v>
      </c>
      <c r="Q56" s="142"/>
      <c r="R56" s="142"/>
      <c r="S56" s="106">
        <f t="shared" ref="S56:T59" si="13">O56-Q56</f>
        <v>1965.37</v>
      </c>
      <c r="T56" s="136">
        <f t="shared" si="13"/>
        <v>574.51048000000003</v>
      </c>
    </row>
    <row r="57" spans="1:20">
      <c r="A57" s="10" t="s">
        <v>9</v>
      </c>
      <c r="B57" s="12">
        <f t="shared" ref="B57:B62" si="14">C57/3.6</f>
        <v>13.333333333333332</v>
      </c>
      <c r="C57" s="121">
        <v>48</v>
      </c>
      <c r="D57" s="12">
        <f t="shared" ref="D57:D62" si="15">E57/0.227</f>
        <v>0.24374449339207047</v>
      </c>
      <c r="E57" s="124">
        <v>5.5329999999999997E-2</v>
      </c>
      <c r="H57" s="104" t="s">
        <v>9</v>
      </c>
      <c r="I57" s="109">
        <f t="shared" ref="I57:I63" si="16">K44</f>
        <v>11293.823</v>
      </c>
      <c r="J57" s="119"/>
      <c r="K57" s="107">
        <f t="shared" ref="K57:K63" si="17">I57-J57</f>
        <v>11293.823</v>
      </c>
      <c r="L57" s="107">
        <f>K57*D57</f>
        <v>2752.8071655947133</v>
      </c>
      <c r="N57" s="141" t="s">
        <v>28</v>
      </c>
      <c r="O57" s="135">
        <f t="shared" si="12"/>
        <v>86755.459999999992</v>
      </c>
      <c r="P57" s="106">
        <f t="shared" si="12"/>
        <v>15460.69291</v>
      </c>
      <c r="Q57" s="142"/>
      <c r="R57" s="142"/>
      <c r="S57" s="106">
        <f t="shared" si="13"/>
        <v>86755.459999999992</v>
      </c>
      <c r="T57" s="136">
        <f t="shared" si="13"/>
        <v>15460.69291</v>
      </c>
    </row>
    <row r="58" spans="1:20">
      <c r="A58" s="10" t="s">
        <v>8</v>
      </c>
      <c r="B58" s="12">
        <f t="shared" si="14"/>
        <v>11.222222222222221</v>
      </c>
      <c r="C58" s="121">
        <v>40.4</v>
      </c>
      <c r="D58" s="12">
        <f t="shared" si="15"/>
        <v>0.34096916299559471</v>
      </c>
      <c r="E58" s="124">
        <v>7.7399999999999997E-2</v>
      </c>
      <c r="H58" s="104" t="s">
        <v>8</v>
      </c>
      <c r="I58" s="109">
        <f t="shared" si="16"/>
        <v>0</v>
      </c>
      <c r="J58" s="119"/>
      <c r="K58" s="107">
        <f t="shared" si="17"/>
        <v>0</v>
      </c>
      <c r="L58" s="107">
        <f>K58*D58</f>
        <v>0</v>
      </c>
      <c r="N58" s="141" t="s">
        <v>29</v>
      </c>
      <c r="O58" s="135">
        <f t="shared" si="12"/>
        <v>17108.849999999999</v>
      </c>
      <c r="P58" s="106">
        <f t="shared" si="12"/>
        <v>4259.50486</v>
      </c>
      <c r="Q58" s="142"/>
      <c r="R58" s="142"/>
      <c r="S58" s="106">
        <f t="shared" si="13"/>
        <v>17108.849999999999</v>
      </c>
      <c r="T58" s="136">
        <f t="shared" si="13"/>
        <v>4259.50486</v>
      </c>
    </row>
    <row r="59" spans="1:20" ht="15" thickBot="1">
      <c r="A59" s="10" t="s">
        <v>58</v>
      </c>
      <c r="B59" s="12">
        <f t="shared" si="14"/>
        <v>4.333333333333333</v>
      </c>
      <c r="C59" s="121">
        <v>15.6</v>
      </c>
      <c r="D59" s="12">
        <f t="shared" si="15"/>
        <v>0</v>
      </c>
      <c r="E59" s="124">
        <v>0</v>
      </c>
      <c r="H59" s="104" t="s">
        <v>58</v>
      </c>
      <c r="I59" s="109">
        <f t="shared" si="16"/>
        <v>62921.445445563731</v>
      </c>
      <c r="J59" s="119"/>
      <c r="K59" s="107">
        <f t="shared" si="17"/>
        <v>62921.445445563731</v>
      </c>
      <c r="L59" s="107">
        <f>K59*D59</f>
        <v>0</v>
      </c>
      <c r="N59" s="105" t="s">
        <v>30</v>
      </c>
      <c r="O59" s="152">
        <f t="shared" si="12"/>
        <v>3890.34</v>
      </c>
      <c r="P59" s="153">
        <f t="shared" si="12"/>
        <v>1434.4318600000001</v>
      </c>
      <c r="Q59" s="154"/>
      <c r="R59" s="154"/>
      <c r="S59" s="153">
        <f t="shared" si="13"/>
        <v>3890.34</v>
      </c>
      <c r="T59" s="155">
        <f t="shared" si="13"/>
        <v>1434.4318600000001</v>
      </c>
    </row>
    <row r="60" spans="1:20" ht="15" thickBot="1">
      <c r="A60" s="10" t="s">
        <v>6</v>
      </c>
      <c r="B60" s="12">
        <f t="shared" si="14"/>
        <v>11.944444444444445</v>
      </c>
      <c r="C60" s="121">
        <v>43</v>
      </c>
      <c r="D60" s="12">
        <f t="shared" si="15"/>
        <v>0.32643171806167398</v>
      </c>
      <c r="E60" s="124">
        <v>7.4099999999999999E-2</v>
      </c>
      <c r="H60" s="104" t="s">
        <v>14</v>
      </c>
      <c r="I60" s="109">
        <f t="shared" si="16"/>
        <v>10933.084445859873</v>
      </c>
      <c r="J60" s="119"/>
      <c r="K60" s="107">
        <f t="shared" si="17"/>
        <v>10933.084445859873</v>
      </c>
      <c r="L60" s="107">
        <f>K60*D63</f>
        <v>8363.8096010828031</v>
      </c>
      <c r="O60" s="144">
        <f t="shared" ref="O60:T60" si="18">SUM(O56:O59)</f>
        <v>109720.01999999999</v>
      </c>
      <c r="P60" s="145">
        <f t="shared" si="18"/>
        <v>21729.14011</v>
      </c>
      <c r="Q60" s="145">
        <f t="shared" si="18"/>
        <v>0</v>
      </c>
      <c r="R60" s="145">
        <f t="shared" si="18"/>
        <v>0</v>
      </c>
      <c r="S60" s="145">
        <f t="shared" si="18"/>
        <v>109720.01999999999</v>
      </c>
      <c r="T60" s="146">
        <f t="shared" si="18"/>
        <v>21729.14011</v>
      </c>
    </row>
    <row r="61" spans="1:20">
      <c r="A61" s="10" t="s">
        <v>7</v>
      </c>
      <c r="B61" s="12">
        <f t="shared" si="14"/>
        <v>12.305555555555554</v>
      </c>
      <c r="C61" s="121">
        <v>44.3</v>
      </c>
      <c r="D61" s="12">
        <f t="shared" si="15"/>
        <v>0.30528634361233481</v>
      </c>
      <c r="E61" s="124">
        <v>6.93E-2</v>
      </c>
      <c r="H61" s="104" t="s">
        <v>10</v>
      </c>
      <c r="I61" s="109">
        <f t="shared" si="16"/>
        <v>3444.5117863105179</v>
      </c>
      <c r="J61" s="119"/>
      <c r="K61" s="107">
        <f t="shared" si="17"/>
        <v>3444.5117863105179</v>
      </c>
      <c r="L61" s="107">
        <f>K61*D62</f>
        <v>957.48323222992803</v>
      </c>
    </row>
    <row r="62" spans="1:20">
      <c r="A62" s="10" t="s">
        <v>10</v>
      </c>
      <c r="B62" s="12">
        <f t="shared" si="14"/>
        <v>13.138888888888888</v>
      </c>
      <c r="C62" s="121">
        <v>47.3</v>
      </c>
      <c r="D62" s="12">
        <f t="shared" si="15"/>
        <v>0.27797356828193831</v>
      </c>
      <c r="E62" s="124">
        <v>6.3100000000000003E-2</v>
      </c>
      <c r="H62" s="104" t="s">
        <v>6</v>
      </c>
      <c r="I62" s="109">
        <f t="shared" si="16"/>
        <v>6684.5577673900943</v>
      </c>
      <c r="J62" s="119"/>
      <c r="K62" s="107">
        <f t="shared" si="17"/>
        <v>6684.5577673900943</v>
      </c>
      <c r="L62" s="107">
        <f>K62*D60</f>
        <v>2182.0516764916561</v>
      </c>
    </row>
    <row r="63" spans="1:20">
      <c r="A63" s="10" t="s">
        <v>14</v>
      </c>
      <c r="B63" s="12" t="s">
        <v>15</v>
      </c>
      <c r="C63" s="121" t="s">
        <v>15</v>
      </c>
      <c r="D63" s="121">
        <v>0.76500000000000001</v>
      </c>
      <c r="E63" s="125">
        <f>0.277*D63</f>
        <v>0.21190500000000001</v>
      </c>
      <c r="H63" s="104" t="s">
        <v>25</v>
      </c>
      <c r="I63" s="109">
        <f t="shared" si="16"/>
        <v>9137.1902459654975</v>
      </c>
      <c r="J63" s="119"/>
      <c r="K63" s="107">
        <f t="shared" si="17"/>
        <v>9137.1902459654975</v>
      </c>
      <c r="L63" s="107">
        <f>K63*D61</f>
        <v>2789.459401081097</v>
      </c>
    </row>
    <row r="64" spans="1:20" ht="15" thickBot="1">
      <c r="A64" s="101" t="s">
        <v>101</v>
      </c>
      <c r="H64" s="105" t="s">
        <v>95</v>
      </c>
      <c r="I64" s="109"/>
      <c r="J64" s="120"/>
      <c r="K64" s="111"/>
      <c r="L64" s="107"/>
    </row>
    <row r="65" spans="1:20" ht="15" thickBot="1">
      <c r="A65" s="100"/>
      <c r="I65" s="112">
        <f>SUM(I56:I64)</f>
        <v>124883.93125761519</v>
      </c>
      <c r="J65" s="113">
        <f>SUM(J56:J64)</f>
        <v>0</v>
      </c>
      <c r="K65" s="114">
        <f>SUM(K56:K64)</f>
        <v>124883.93125761519</v>
      </c>
      <c r="L65" s="114">
        <f>SUM(L56:L64)</f>
        <v>25592.227877076166</v>
      </c>
    </row>
    <row r="66" spans="1:20" ht="15" thickBot="1">
      <c r="A66" s="99" t="s">
        <v>103</v>
      </c>
    </row>
    <row r="67" spans="1:20" ht="58">
      <c r="A67" s="361" t="s">
        <v>11</v>
      </c>
      <c r="B67" s="362" t="s">
        <v>12</v>
      </c>
      <c r="C67" s="362"/>
      <c r="D67" s="362" t="s">
        <v>13</v>
      </c>
      <c r="E67" s="362"/>
      <c r="H67" s="357" t="s">
        <v>105</v>
      </c>
      <c r="I67" s="115" t="s">
        <v>112</v>
      </c>
      <c r="J67" s="116" t="s">
        <v>113</v>
      </c>
      <c r="K67" s="116" t="s">
        <v>114</v>
      </c>
      <c r="L67" s="116" t="s">
        <v>117</v>
      </c>
      <c r="N67" s="354" t="s">
        <v>124</v>
      </c>
      <c r="O67" s="130" t="s">
        <v>112</v>
      </c>
      <c r="P67" s="131" t="s">
        <v>132</v>
      </c>
      <c r="Q67" s="131" t="s">
        <v>113</v>
      </c>
      <c r="R67" s="131" t="s">
        <v>133</v>
      </c>
      <c r="S67" s="131" t="s">
        <v>114</v>
      </c>
      <c r="T67" s="132" t="s">
        <v>137</v>
      </c>
    </row>
    <row r="68" spans="1:20">
      <c r="A68" s="361"/>
      <c r="B68" s="94" t="s">
        <v>3</v>
      </c>
      <c r="C68" s="94" t="s">
        <v>2</v>
      </c>
      <c r="D68" s="94" t="s">
        <v>1</v>
      </c>
      <c r="E68" s="94" t="s">
        <v>4</v>
      </c>
      <c r="H68" s="358"/>
      <c r="I68" s="117" t="s">
        <v>36</v>
      </c>
      <c r="J68" s="118" t="s">
        <v>36</v>
      </c>
      <c r="K68" s="118" t="s">
        <v>36</v>
      </c>
      <c r="L68" s="118" t="s">
        <v>118</v>
      </c>
      <c r="N68" s="355"/>
      <c r="O68" s="133" t="s">
        <v>36</v>
      </c>
      <c r="P68" s="103" t="s">
        <v>118</v>
      </c>
      <c r="Q68" s="103" t="s">
        <v>36</v>
      </c>
      <c r="R68" s="103" t="s">
        <v>118</v>
      </c>
      <c r="S68" s="103" t="s">
        <v>36</v>
      </c>
      <c r="T68" s="134" t="s">
        <v>118</v>
      </c>
    </row>
    <row r="69" spans="1:20">
      <c r="A69" s="10" t="s">
        <v>5</v>
      </c>
      <c r="B69" s="12">
        <f>C69/3.6</f>
        <v>6.2277777777777779</v>
      </c>
      <c r="C69" s="121">
        <v>22.42</v>
      </c>
      <c r="D69" s="12">
        <f>E69/0.227</f>
        <v>0.4175330396475771</v>
      </c>
      <c r="E69" s="124">
        <f>0.09478</f>
        <v>9.4780000000000003E-2</v>
      </c>
      <c r="H69" s="104" t="s">
        <v>5</v>
      </c>
      <c r="I69" s="109">
        <f>K56</f>
        <v>20469.318566525475</v>
      </c>
      <c r="J69" s="119"/>
      <c r="K69" s="107">
        <f>I69-J69</f>
        <v>20469.318566525475</v>
      </c>
      <c r="L69" s="107">
        <f>K69*D69</f>
        <v>8546.616800595968</v>
      </c>
      <c r="N69" s="141" t="s">
        <v>27</v>
      </c>
      <c r="O69" s="135">
        <f t="shared" ref="O69:P72" si="19">S56</f>
        <v>1965.37</v>
      </c>
      <c r="P69" s="106">
        <f t="shared" si="19"/>
        <v>574.51048000000003</v>
      </c>
      <c r="Q69" s="142"/>
      <c r="R69" s="142"/>
      <c r="S69" s="106">
        <f t="shared" ref="S69:T72" si="20">O69-Q69</f>
        <v>1965.37</v>
      </c>
      <c r="T69" s="136">
        <f t="shared" si="20"/>
        <v>574.51048000000003</v>
      </c>
    </row>
    <row r="70" spans="1:20">
      <c r="A70" s="10" t="s">
        <v>9</v>
      </c>
      <c r="B70" s="12">
        <f t="shared" ref="B70:B75" si="21">C70/3.6</f>
        <v>13.333333333333332</v>
      </c>
      <c r="C70" s="121">
        <v>48</v>
      </c>
      <c r="D70" s="12">
        <f t="shared" ref="D70:D75" si="22">E70/0.227</f>
        <v>0.24374449339207047</v>
      </c>
      <c r="E70" s="124">
        <v>5.5329999999999997E-2</v>
      </c>
      <c r="H70" s="104" t="s">
        <v>9</v>
      </c>
      <c r="I70" s="109">
        <f t="shared" ref="I70:I76" si="23">K57</f>
        <v>11293.823</v>
      </c>
      <c r="J70" s="119"/>
      <c r="K70" s="107">
        <f t="shared" ref="K70:K76" si="24">I70-J70</f>
        <v>11293.823</v>
      </c>
      <c r="L70" s="107">
        <f>K70*D70</f>
        <v>2752.8071655947133</v>
      </c>
      <c r="N70" s="141" t="s">
        <v>28</v>
      </c>
      <c r="O70" s="135">
        <f t="shared" si="19"/>
        <v>86755.459999999992</v>
      </c>
      <c r="P70" s="106">
        <f t="shared" si="19"/>
        <v>15460.69291</v>
      </c>
      <c r="Q70" s="142"/>
      <c r="R70" s="142"/>
      <c r="S70" s="106">
        <f t="shared" si="20"/>
        <v>86755.459999999992</v>
      </c>
      <c r="T70" s="136">
        <f t="shared" si="20"/>
        <v>15460.69291</v>
      </c>
    </row>
    <row r="71" spans="1:20">
      <c r="A71" s="10" t="s">
        <v>8</v>
      </c>
      <c r="B71" s="12">
        <f t="shared" si="21"/>
        <v>11.222222222222221</v>
      </c>
      <c r="C71" s="121">
        <v>40.4</v>
      </c>
      <c r="D71" s="12">
        <f t="shared" si="22"/>
        <v>0.34096916299559471</v>
      </c>
      <c r="E71" s="124">
        <v>7.7399999999999997E-2</v>
      </c>
      <c r="H71" s="104" t="s">
        <v>8</v>
      </c>
      <c r="I71" s="109">
        <f t="shared" si="23"/>
        <v>0</v>
      </c>
      <c r="J71" s="119"/>
      <c r="K71" s="107">
        <f t="shared" si="24"/>
        <v>0</v>
      </c>
      <c r="L71" s="107">
        <f>K71*D71</f>
        <v>0</v>
      </c>
      <c r="N71" s="141" t="s">
        <v>29</v>
      </c>
      <c r="O71" s="135">
        <f t="shared" si="19"/>
        <v>17108.849999999999</v>
      </c>
      <c r="P71" s="106">
        <f t="shared" si="19"/>
        <v>4259.50486</v>
      </c>
      <c r="Q71" s="142"/>
      <c r="R71" s="142"/>
      <c r="S71" s="106">
        <f t="shared" si="20"/>
        <v>17108.849999999999</v>
      </c>
      <c r="T71" s="136">
        <f t="shared" si="20"/>
        <v>4259.50486</v>
      </c>
    </row>
    <row r="72" spans="1:20" ht="15" thickBot="1">
      <c r="A72" s="10" t="s">
        <v>58</v>
      </c>
      <c r="B72" s="12">
        <f t="shared" si="21"/>
        <v>4.333333333333333</v>
      </c>
      <c r="C72" s="121">
        <v>15.6</v>
      </c>
      <c r="D72" s="12">
        <f t="shared" si="22"/>
        <v>0</v>
      </c>
      <c r="E72" s="124">
        <v>0</v>
      </c>
      <c r="H72" s="104" t="s">
        <v>58</v>
      </c>
      <c r="I72" s="109">
        <f t="shared" si="23"/>
        <v>62921.445445563731</v>
      </c>
      <c r="J72" s="119"/>
      <c r="K72" s="107">
        <f t="shared" si="24"/>
        <v>62921.445445563731</v>
      </c>
      <c r="L72" s="107">
        <f>K72*D72</f>
        <v>0</v>
      </c>
      <c r="N72" s="105" t="s">
        <v>30</v>
      </c>
      <c r="O72" s="152">
        <f t="shared" si="19"/>
        <v>3890.34</v>
      </c>
      <c r="P72" s="153">
        <f t="shared" si="19"/>
        <v>1434.4318600000001</v>
      </c>
      <c r="Q72" s="154"/>
      <c r="R72" s="154"/>
      <c r="S72" s="153">
        <f t="shared" si="20"/>
        <v>3890.34</v>
      </c>
      <c r="T72" s="155">
        <f t="shared" si="20"/>
        <v>1434.4318600000001</v>
      </c>
    </row>
    <row r="73" spans="1:20" ht="15" thickBot="1">
      <c r="A73" s="10" t="s">
        <v>6</v>
      </c>
      <c r="B73" s="12">
        <f t="shared" si="21"/>
        <v>11.944444444444445</v>
      </c>
      <c r="C73" s="121">
        <v>43</v>
      </c>
      <c r="D73" s="12">
        <f t="shared" si="22"/>
        <v>0.32643171806167398</v>
      </c>
      <c r="E73" s="124">
        <v>7.4099999999999999E-2</v>
      </c>
      <c r="H73" s="104" t="s">
        <v>14</v>
      </c>
      <c r="I73" s="109">
        <f t="shared" si="23"/>
        <v>10933.084445859873</v>
      </c>
      <c r="J73" s="119"/>
      <c r="K73" s="107">
        <f t="shared" si="24"/>
        <v>10933.084445859873</v>
      </c>
      <c r="L73" s="107">
        <f>K73*D76</f>
        <v>8363.8096010828031</v>
      </c>
      <c r="O73" s="144">
        <f t="shared" ref="O73:T73" si="25">SUM(O69:O72)</f>
        <v>109720.01999999999</v>
      </c>
      <c r="P73" s="145">
        <f t="shared" si="25"/>
        <v>21729.14011</v>
      </c>
      <c r="Q73" s="145">
        <f t="shared" si="25"/>
        <v>0</v>
      </c>
      <c r="R73" s="145">
        <f t="shared" si="25"/>
        <v>0</v>
      </c>
      <c r="S73" s="145">
        <f t="shared" si="25"/>
        <v>109720.01999999999</v>
      </c>
      <c r="T73" s="146">
        <f t="shared" si="25"/>
        <v>21729.14011</v>
      </c>
    </row>
    <row r="74" spans="1:20">
      <c r="A74" s="10" t="s">
        <v>7</v>
      </c>
      <c r="B74" s="12">
        <f t="shared" si="21"/>
        <v>12.305555555555554</v>
      </c>
      <c r="C74" s="121">
        <v>44.3</v>
      </c>
      <c r="D74" s="12">
        <f t="shared" si="22"/>
        <v>0.30528634361233481</v>
      </c>
      <c r="E74" s="124">
        <v>6.93E-2</v>
      </c>
      <c r="H74" s="104" t="s">
        <v>10</v>
      </c>
      <c r="I74" s="109">
        <f t="shared" si="23"/>
        <v>3444.5117863105179</v>
      </c>
      <c r="J74" s="119"/>
      <c r="K74" s="107">
        <f t="shared" si="24"/>
        <v>3444.5117863105179</v>
      </c>
      <c r="L74" s="107">
        <f>K74*D75</f>
        <v>957.48323222992803</v>
      </c>
    </row>
    <row r="75" spans="1:20">
      <c r="A75" s="10" t="s">
        <v>10</v>
      </c>
      <c r="B75" s="12">
        <f t="shared" si="21"/>
        <v>13.138888888888888</v>
      </c>
      <c r="C75" s="121">
        <v>47.3</v>
      </c>
      <c r="D75" s="12">
        <f t="shared" si="22"/>
        <v>0.27797356828193831</v>
      </c>
      <c r="E75" s="124">
        <v>6.3100000000000003E-2</v>
      </c>
      <c r="H75" s="104" t="s">
        <v>6</v>
      </c>
      <c r="I75" s="109">
        <f t="shared" si="23"/>
        <v>6684.5577673900943</v>
      </c>
      <c r="J75" s="119"/>
      <c r="K75" s="107">
        <f t="shared" si="24"/>
        <v>6684.5577673900943</v>
      </c>
      <c r="L75" s="107">
        <f>K75*D73</f>
        <v>2182.0516764916561</v>
      </c>
    </row>
    <row r="76" spans="1:20">
      <c r="A76" s="10" t="s">
        <v>14</v>
      </c>
      <c r="B76" s="12" t="s">
        <v>15</v>
      </c>
      <c r="C76" s="121" t="s">
        <v>15</v>
      </c>
      <c r="D76" s="121">
        <v>0.76500000000000001</v>
      </c>
      <c r="E76" s="125">
        <f>0.277*D76</f>
        <v>0.21190500000000001</v>
      </c>
      <c r="H76" s="104" t="s">
        <v>25</v>
      </c>
      <c r="I76" s="109">
        <f t="shared" si="23"/>
        <v>9137.1902459654975</v>
      </c>
      <c r="J76" s="119"/>
      <c r="K76" s="107">
        <f t="shared" si="24"/>
        <v>9137.1902459654975</v>
      </c>
      <c r="L76" s="107">
        <f>K76*D74</f>
        <v>2789.459401081097</v>
      </c>
    </row>
    <row r="77" spans="1:20" ht="15" thickBot="1">
      <c r="A77" s="101" t="s">
        <v>101</v>
      </c>
      <c r="H77" s="105" t="s">
        <v>95</v>
      </c>
      <c r="I77" s="109"/>
      <c r="J77" s="120"/>
      <c r="K77" s="111"/>
      <c r="L77" s="107"/>
    </row>
    <row r="78" spans="1:20" ht="15" thickBot="1">
      <c r="A78" s="100"/>
      <c r="I78" s="112">
        <f>SUM(I69:I77)</f>
        <v>124883.93125761519</v>
      </c>
      <c r="J78" s="113">
        <f>SUM(J69:J77)</f>
        <v>0</v>
      </c>
      <c r="K78" s="114">
        <f>SUM(K69:K77)</f>
        <v>124883.93125761519</v>
      </c>
      <c r="L78" s="114">
        <f>SUM(L69:L77)</f>
        <v>25592.227877076166</v>
      </c>
    </row>
    <row r="79" spans="1:20" ht="15" thickBot="1">
      <c r="A79" s="99" t="s">
        <v>104</v>
      </c>
    </row>
    <row r="80" spans="1:20" ht="58">
      <c r="A80" s="361" t="s">
        <v>11</v>
      </c>
      <c r="B80" s="362" t="s">
        <v>12</v>
      </c>
      <c r="C80" s="362"/>
      <c r="D80" s="362" t="s">
        <v>13</v>
      </c>
      <c r="E80" s="362"/>
      <c r="H80" s="357" t="s">
        <v>105</v>
      </c>
      <c r="I80" s="115" t="s">
        <v>114</v>
      </c>
      <c r="J80" s="116" t="s">
        <v>115</v>
      </c>
      <c r="K80" s="116" t="s">
        <v>116</v>
      </c>
      <c r="L80" s="116" t="s">
        <v>117</v>
      </c>
      <c r="N80" s="354" t="s">
        <v>124</v>
      </c>
      <c r="O80" s="130" t="s">
        <v>114</v>
      </c>
      <c r="P80" s="131" t="s">
        <v>134</v>
      </c>
      <c r="Q80" s="131" t="s">
        <v>115</v>
      </c>
      <c r="R80" s="131" t="s">
        <v>135</v>
      </c>
      <c r="S80" s="131" t="s">
        <v>116</v>
      </c>
      <c r="T80" s="132" t="s">
        <v>136</v>
      </c>
    </row>
    <row r="81" spans="1:20">
      <c r="A81" s="361"/>
      <c r="B81" s="94" t="s">
        <v>3</v>
      </c>
      <c r="C81" s="94" t="s">
        <v>2</v>
      </c>
      <c r="D81" s="94" t="s">
        <v>1</v>
      </c>
      <c r="E81" s="94" t="s">
        <v>4</v>
      </c>
      <c r="H81" s="358"/>
      <c r="I81" s="117" t="s">
        <v>36</v>
      </c>
      <c r="J81" s="118" t="s">
        <v>36</v>
      </c>
      <c r="K81" s="118" t="s">
        <v>36</v>
      </c>
      <c r="L81" s="118" t="s">
        <v>118</v>
      </c>
      <c r="N81" s="355"/>
      <c r="O81" s="133" t="s">
        <v>36</v>
      </c>
      <c r="P81" s="103" t="s">
        <v>118</v>
      </c>
      <c r="Q81" s="103" t="s">
        <v>36</v>
      </c>
      <c r="R81" s="103" t="s">
        <v>118</v>
      </c>
      <c r="S81" s="103" t="s">
        <v>36</v>
      </c>
      <c r="T81" s="134" t="s">
        <v>118</v>
      </c>
    </row>
    <row r="82" spans="1:20">
      <c r="A82" s="10" t="s">
        <v>5</v>
      </c>
      <c r="B82" s="12">
        <f>C82/3.6</f>
        <v>6.2277777777777779</v>
      </c>
      <c r="C82" s="121">
        <v>22.42</v>
      </c>
      <c r="D82" s="12">
        <f>E82/0.227</f>
        <v>0.4175330396475771</v>
      </c>
      <c r="E82" s="124">
        <f>0.09478</f>
        <v>9.4780000000000003E-2</v>
      </c>
      <c r="H82" s="104" t="s">
        <v>5</v>
      </c>
      <c r="I82" s="109">
        <f>K69</f>
        <v>20469.318566525475</v>
      </c>
      <c r="J82" s="119"/>
      <c r="K82" s="107">
        <f>I82-J82</f>
        <v>20469.318566525475</v>
      </c>
      <c r="L82" s="107">
        <f>K82*D82</f>
        <v>8546.616800595968</v>
      </c>
      <c r="N82" s="141" t="s">
        <v>27</v>
      </c>
      <c r="O82" s="135">
        <f t="shared" ref="O82:P85" si="26">S69</f>
        <v>1965.37</v>
      </c>
      <c r="P82" s="106">
        <f t="shared" si="26"/>
        <v>574.51048000000003</v>
      </c>
      <c r="Q82" s="142"/>
      <c r="R82" s="142"/>
      <c r="S82" s="106">
        <f t="shared" ref="S82:T85" si="27">O82-Q82</f>
        <v>1965.37</v>
      </c>
      <c r="T82" s="136">
        <f t="shared" si="27"/>
        <v>574.51048000000003</v>
      </c>
    </row>
    <row r="83" spans="1:20">
      <c r="A83" s="10" t="s">
        <v>9</v>
      </c>
      <c r="B83" s="12">
        <f t="shared" ref="B83:B88" si="28">C83/3.6</f>
        <v>13.333333333333332</v>
      </c>
      <c r="C83" s="121">
        <v>48</v>
      </c>
      <c r="D83" s="12">
        <f t="shared" ref="D83:D88" si="29">E83/0.227</f>
        <v>0.24374449339207047</v>
      </c>
      <c r="E83" s="124">
        <v>5.5329999999999997E-2</v>
      </c>
      <c r="H83" s="104" t="s">
        <v>9</v>
      </c>
      <c r="I83" s="109">
        <f t="shared" ref="I83:I89" si="30">K70</f>
        <v>11293.823</v>
      </c>
      <c r="J83" s="119"/>
      <c r="K83" s="107">
        <f t="shared" ref="K83:K89" si="31">I83-J83</f>
        <v>11293.823</v>
      </c>
      <c r="L83" s="107">
        <f>K83*D83</f>
        <v>2752.8071655947133</v>
      </c>
      <c r="N83" s="141" t="s">
        <v>28</v>
      </c>
      <c r="O83" s="135">
        <f t="shared" si="26"/>
        <v>86755.459999999992</v>
      </c>
      <c r="P83" s="106">
        <f t="shared" si="26"/>
        <v>15460.69291</v>
      </c>
      <c r="Q83" s="142"/>
      <c r="R83" s="142"/>
      <c r="S83" s="106">
        <f t="shared" si="27"/>
        <v>86755.459999999992</v>
      </c>
      <c r="T83" s="136">
        <f t="shared" si="27"/>
        <v>15460.69291</v>
      </c>
    </row>
    <row r="84" spans="1:20">
      <c r="A84" s="10" t="s">
        <v>8</v>
      </c>
      <c r="B84" s="12">
        <f t="shared" si="28"/>
        <v>11.222222222222221</v>
      </c>
      <c r="C84" s="121">
        <v>40.4</v>
      </c>
      <c r="D84" s="12">
        <f t="shared" si="29"/>
        <v>0.34096916299559471</v>
      </c>
      <c r="E84" s="124">
        <v>7.7399999999999997E-2</v>
      </c>
      <c r="H84" s="104" t="s">
        <v>8</v>
      </c>
      <c r="I84" s="109">
        <f t="shared" si="30"/>
        <v>0</v>
      </c>
      <c r="J84" s="119"/>
      <c r="K84" s="107">
        <f t="shared" si="31"/>
        <v>0</v>
      </c>
      <c r="L84" s="107">
        <f>K84*D84</f>
        <v>0</v>
      </c>
      <c r="N84" s="141" t="s">
        <v>29</v>
      </c>
      <c r="O84" s="135">
        <f t="shared" si="26"/>
        <v>17108.849999999999</v>
      </c>
      <c r="P84" s="106">
        <f t="shared" si="26"/>
        <v>4259.50486</v>
      </c>
      <c r="Q84" s="142"/>
      <c r="R84" s="142"/>
      <c r="S84" s="106">
        <f t="shared" si="27"/>
        <v>17108.849999999999</v>
      </c>
      <c r="T84" s="136">
        <f t="shared" si="27"/>
        <v>4259.50486</v>
      </c>
    </row>
    <row r="85" spans="1:20" ht="15" thickBot="1">
      <c r="A85" s="10" t="s">
        <v>58</v>
      </c>
      <c r="B85" s="12">
        <f t="shared" si="28"/>
        <v>4.333333333333333</v>
      </c>
      <c r="C85" s="121">
        <v>15.6</v>
      </c>
      <c r="D85" s="12">
        <f t="shared" si="29"/>
        <v>0</v>
      </c>
      <c r="E85" s="124">
        <v>0</v>
      </c>
      <c r="H85" s="104" t="s">
        <v>58</v>
      </c>
      <c r="I85" s="109">
        <f t="shared" si="30"/>
        <v>62921.445445563731</v>
      </c>
      <c r="J85" s="119"/>
      <c r="K85" s="107">
        <f t="shared" si="31"/>
        <v>62921.445445563731</v>
      </c>
      <c r="L85" s="107">
        <f>K85*D85</f>
        <v>0</v>
      </c>
      <c r="N85" s="105" t="s">
        <v>30</v>
      </c>
      <c r="O85" s="152">
        <f t="shared" si="26"/>
        <v>3890.34</v>
      </c>
      <c r="P85" s="153">
        <f t="shared" si="26"/>
        <v>1434.4318600000001</v>
      </c>
      <c r="Q85" s="154"/>
      <c r="R85" s="154"/>
      <c r="S85" s="153">
        <f t="shared" si="27"/>
        <v>3890.34</v>
      </c>
      <c r="T85" s="155">
        <f t="shared" si="27"/>
        <v>1434.4318600000001</v>
      </c>
    </row>
    <row r="86" spans="1:20" ht="15" thickBot="1">
      <c r="A86" s="10" t="s">
        <v>6</v>
      </c>
      <c r="B86" s="12">
        <f t="shared" si="28"/>
        <v>11.944444444444445</v>
      </c>
      <c r="C86" s="121">
        <v>43</v>
      </c>
      <c r="D86" s="12">
        <f t="shared" si="29"/>
        <v>0.32643171806167398</v>
      </c>
      <c r="E86" s="124">
        <v>7.4099999999999999E-2</v>
      </c>
      <c r="H86" s="104" t="s">
        <v>14</v>
      </c>
      <c r="I86" s="109">
        <f t="shared" si="30"/>
        <v>10933.084445859873</v>
      </c>
      <c r="J86" s="119"/>
      <c r="K86" s="107">
        <f t="shared" si="31"/>
        <v>10933.084445859873</v>
      </c>
      <c r="L86" s="107">
        <f>K86*D89</f>
        <v>8363.8096010828031</v>
      </c>
      <c r="O86" s="144">
        <f t="shared" ref="O86:T86" si="32">SUM(O82:O85)</f>
        <v>109720.01999999999</v>
      </c>
      <c r="P86" s="145">
        <f t="shared" si="32"/>
        <v>21729.14011</v>
      </c>
      <c r="Q86" s="145">
        <f t="shared" si="32"/>
        <v>0</v>
      </c>
      <c r="R86" s="145">
        <f t="shared" si="32"/>
        <v>0</v>
      </c>
      <c r="S86" s="145">
        <f t="shared" si="32"/>
        <v>109720.01999999999</v>
      </c>
      <c r="T86" s="146">
        <f t="shared" si="32"/>
        <v>21729.14011</v>
      </c>
    </row>
    <row r="87" spans="1:20">
      <c r="A87" s="10" t="s">
        <v>7</v>
      </c>
      <c r="B87" s="12">
        <f t="shared" si="28"/>
        <v>12.305555555555554</v>
      </c>
      <c r="C87" s="121">
        <v>44.3</v>
      </c>
      <c r="D87" s="12">
        <f t="shared" si="29"/>
        <v>0.30528634361233481</v>
      </c>
      <c r="E87" s="124">
        <v>6.93E-2</v>
      </c>
      <c r="H87" s="104" t="s">
        <v>10</v>
      </c>
      <c r="I87" s="109">
        <f t="shared" si="30"/>
        <v>3444.5117863105179</v>
      </c>
      <c r="J87" s="119"/>
      <c r="K87" s="107">
        <f t="shared" si="31"/>
        <v>3444.5117863105179</v>
      </c>
      <c r="L87" s="107">
        <f>K87*D88</f>
        <v>957.48323222992803</v>
      </c>
    </row>
    <row r="88" spans="1:20">
      <c r="A88" s="10" t="s">
        <v>10</v>
      </c>
      <c r="B88" s="12">
        <f t="shared" si="28"/>
        <v>13.138888888888888</v>
      </c>
      <c r="C88" s="121">
        <v>47.3</v>
      </c>
      <c r="D88" s="12">
        <f t="shared" si="29"/>
        <v>0.27797356828193831</v>
      </c>
      <c r="E88" s="124">
        <v>6.3100000000000003E-2</v>
      </c>
      <c r="H88" s="104" t="s">
        <v>6</v>
      </c>
      <c r="I88" s="109">
        <f t="shared" si="30"/>
        <v>6684.5577673900943</v>
      </c>
      <c r="J88" s="119"/>
      <c r="K88" s="107">
        <f t="shared" si="31"/>
        <v>6684.5577673900943</v>
      </c>
      <c r="L88" s="107">
        <f>K88*D86</f>
        <v>2182.0516764916561</v>
      </c>
    </row>
    <row r="89" spans="1:20">
      <c r="A89" s="10" t="s">
        <v>14</v>
      </c>
      <c r="B89" s="12" t="s">
        <v>15</v>
      </c>
      <c r="C89" s="121" t="s">
        <v>15</v>
      </c>
      <c r="D89" s="121">
        <v>0.76500000000000001</v>
      </c>
      <c r="E89" s="71">
        <f>0.277*D89</f>
        <v>0.21190500000000001</v>
      </c>
      <c r="H89" s="104" t="s">
        <v>25</v>
      </c>
      <c r="I89" s="109">
        <f t="shared" si="30"/>
        <v>9137.1902459654975</v>
      </c>
      <c r="J89" s="119"/>
      <c r="K89" s="107">
        <f t="shared" si="31"/>
        <v>9137.1902459654975</v>
      </c>
      <c r="L89" s="107">
        <f>K89*D87</f>
        <v>2789.459401081097</v>
      </c>
    </row>
    <row r="90" spans="1:20" ht="15" thickBot="1">
      <c r="A90" s="101" t="s">
        <v>101</v>
      </c>
      <c r="H90" s="105"/>
      <c r="I90" s="109"/>
      <c r="J90" s="120"/>
      <c r="K90" s="111"/>
      <c r="L90" s="107"/>
    </row>
    <row r="91" spans="1:20" ht="15" thickBot="1">
      <c r="I91" s="112">
        <f>SUM(I82:I90)</f>
        <v>124883.93125761519</v>
      </c>
      <c r="J91" s="113">
        <f>SUM(J82:J90)</f>
        <v>0</v>
      </c>
      <c r="K91" s="114">
        <f>SUM(K82:K90)</f>
        <v>124883.93125761519</v>
      </c>
      <c r="L91" s="114">
        <f>SUM(L82:L90)</f>
        <v>25592.227877076166</v>
      </c>
    </row>
    <row r="92" spans="1:20" ht="15" thickBot="1"/>
    <row r="93" spans="1:20" ht="15" thickBot="1">
      <c r="A93" s="359" t="s">
        <v>123</v>
      </c>
      <c r="B93" s="360"/>
      <c r="C93" s="360"/>
      <c r="D93" s="360"/>
      <c r="E93" s="360"/>
      <c r="F93" s="360"/>
      <c r="G93" s="360"/>
      <c r="H93" s="360"/>
      <c r="I93" s="360"/>
      <c r="J93" s="360"/>
      <c r="K93" s="360"/>
      <c r="L93" s="360"/>
      <c r="M93" s="360"/>
      <c r="N93" s="360"/>
      <c r="O93" s="360"/>
      <c r="P93" s="360"/>
      <c r="Q93" s="360"/>
      <c r="R93" s="360"/>
      <c r="S93" s="360"/>
      <c r="T93" s="360"/>
    </row>
    <row r="94" spans="1:20" ht="15" thickBot="1"/>
    <row r="95" spans="1:20" ht="29">
      <c r="A95" s="357" t="s">
        <v>105</v>
      </c>
      <c r="B95" s="115" t="s">
        <v>106</v>
      </c>
      <c r="C95" s="115" t="s">
        <v>108</v>
      </c>
      <c r="D95" s="116" t="s">
        <v>116</v>
      </c>
      <c r="F95" s="357" t="s">
        <v>105</v>
      </c>
      <c r="G95" s="115" t="s">
        <v>119</v>
      </c>
      <c r="H95" s="116" t="s">
        <v>126</v>
      </c>
      <c r="I95" s="147" t="s">
        <v>120</v>
      </c>
      <c r="N95" s="354" t="s">
        <v>124</v>
      </c>
      <c r="O95" s="130" t="s">
        <v>106</v>
      </c>
      <c r="P95" s="131" t="s">
        <v>119</v>
      </c>
      <c r="Q95" s="131" t="s">
        <v>108</v>
      </c>
      <c r="R95" s="131" t="s">
        <v>126</v>
      </c>
      <c r="S95" s="131" t="s">
        <v>116</v>
      </c>
      <c r="T95" s="132" t="s">
        <v>136</v>
      </c>
    </row>
    <row r="96" spans="1:20">
      <c r="A96" s="358"/>
      <c r="B96" s="117" t="s">
        <v>36</v>
      </c>
      <c r="C96" s="118" t="s">
        <v>36</v>
      </c>
      <c r="D96" s="118" t="s">
        <v>36</v>
      </c>
      <c r="F96" s="358"/>
      <c r="G96" s="117" t="s">
        <v>118</v>
      </c>
      <c r="H96" s="118" t="s">
        <v>118</v>
      </c>
      <c r="I96" s="148" t="s">
        <v>118</v>
      </c>
      <c r="N96" s="355"/>
      <c r="O96" s="133" t="s">
        <v>36</v>
      </c>
      <c r="P96" s="103" t="s">
        <v>118</v>
      </c>
      <c r="Q96" s="103" t="s">
        <v>36</v>
      </c>
      <c r="R96" s="103" t="s">
        <v>118</v>
      </c>
      <c r="S96" s="103" t="s">
        <v>36</v>
      </c>
      <c r="T96" s="134" t="s">
        <v>118</v>
      </c>
    </row>
    <row r="97" spans="1:20">
      <c r="A97" s="104" t="s">
        <v>5</v>
      </c>
      <c r="B97" s="109">
        <f>Podsumowanie!B24</f>
        <v>24807.93</v>
      </c>
      <c r="C97" s="122">
        <f>I30</f>
        <v>20469.318566525475</v>
      </c>
      <c r="D97" s="107">
        <f>K82</f>
        <v>20469.318566525475</v>
      </c>
      <c r="F97" s="104" t="s">
        <v>5</v>
      </c>
      <c r="G97" s="109">
        <f>Podsumowanie!C24</f>
        <v>8285.8486200000007</v>
      </c>
      <c r="H97" s="107">
        <f>L30</f>
        <v>8546.616800595968</v>
      </c>
      <c r="I97" s="149">
        <f>L82</f>
        <v>8546.616800595968</v>
      </c>
      <c r="N97" s="141" t="s">
        <v>27</v>
      </c>
      <c r="O97" s="135">
        <f>Podsumowanie!B5</f>
        <v>1965.37</v>
      </c>
      <c r="P97" s="106">
        <f>Podsumowanie!C5</f>
        <v>574.51048000000003</v>
      </c>
      <c r="Q97" s="143">
        <f t="shared" ref="Q97:R100" si="33">S30</f>
        <v>1965.37</v>
      </c>
      <c r="R97" s="143">
        <f t="shared" si="33"/>
        <v>574.51048000000003</v>
      </c>
      <c r="S97" s="106">
        <f>S82</f>
        <v>1965.37</v>
      </c>
      <c r="T97" s="136">
        <f>T82</f>
        <v>574.51048000000003</v>
      </c>
    </row>
    <row r="98" spans="1:20">
      <c r="A98" s="104" t="s">
        <v>9</v>
      </c>
      <c r="B98" s="109">
        <f>Podsumowanie!B25</f>
        <v>8032.2999999999993</v>
      </c>
      <c r="C98" s="122">
        <f t="shared" ref="C98:C104" si="34">I31</f>
        <v>11293.823</v>
      </c>
      <c r="D98" s="107">
        <f t="shared" ref="D98:D104" si="35">K83</f>
        <v>11293.823</v>
      </c>
      <c r="F98" s="104" t="s">
        <v>9</v>
      </c>
      <c r="G98" s="109">
        <f>Podsumowanie!C25</f>
        <v>1614.4923000000001</v>
      </c>
      <c r="H98" s="107">
        <f t="shared" ref="H98:H104" si="36">L31</f>
        <v>2752.8071655947133</v>
      </c>
      <c r="I98" s="149">
        <f t="shared" ref="I98:I104" si="37">L83</f>
        <v>2752.8071655947133</v>
      </c>
      <c r="N98" s="141" t="s">
        <v>28</v>
      </c>
      <c r="O98" s="135">
        <f>Podsumowanie!B6</f>
        <v>86755.459999999992</v>
      </c>
      <c r="P98" s="106">
        <f>Podsumowanie!C6</f>
        <v>15460.69291</v>
      </c>
      <c r="Q98" s="143">
        <f t="shared" si="33"/>
        <v>86755.459999999992</v>
      </c>
      <c r="R98" s="143">
        <f t="shared" si="33"/>
        <v>15460.69291</v>
      </c>
      <c r="S98" s="106">
        <f t="shared" ref="S98:T100" si="38">S83</f>
        <v>86755.459999999992</v>
      </c>
      <c r="T98" s="136">
        <f t="shared" si="38"/>
        <v>15460.69291</v>
      </c>
    </row>
    <row r="99" spans="1:20">
      <c r="A99" s="104" t="s">
        <v>8</v>
      </c>
      <c r="B99" s="109">
        <f>Podsumowanie!B26</f>
        <v>11.64</v>
      </c>
      <c r="C99" s="122">
        <f t="shared" si="34"/>
        <v>0</v>
      </c>
      <c r="D99" s="107">
        <f t="shared" si="35"/>
        <v>0</v>
      </c>
      <c r="F99" s="104" t="s">
        <v>8</v>
      </c>
      <c r="G99" s="109">
        <f>Podsumowanie!C26</f>
        <v>3.2126400000000004</v>
      </c>
      <c r="H99" s="107">
        <f t="shared" si="36"/>
        <v>0</v>
      </c>
      <c r="I99" s="149">
        <f t="shared" si="37"/>
        <v>0</v>
      </c>
      <c r="N99" s="141" t="s">
        <v>29</v>
      </c>
      <c r="O99" s="135">
        <f>Podsumowanie!B7</f>
        <v>17108.849999999999</v>
      </c>
      <c r="P99" s="106">
        <f>Podsumowanie!C7</f>
        <v>4259.50486</v>
      </c>
      <c r="Q99" s="143">
        <f t="shared" si="33"/>
        <v>17108.849999999999</v>
      </c>
      <c r="R99" s="143">
        <f t="shared" si="33"/>
        <v>4259.50486</v>
      </c>
      <c r="S99" s="106">
        <f t="shared" si="38"/>
        <v>17108.849999999999</v>
      </c>
      <c r="T99" s="136">
        <f t="shared" si="38"/>
        <v>4259.50486</v>
      </c>
    </row>
    <row r="100" spans="1:20" ht="15" thickBot="1">
      <c r="A100" s="104" t="s">
        <v>58</v>
      </c>
      <c r="B100" s="109">
        <f>Podsumowanie!B27</f>
        <v>50107.62</v>
      </c>
      <c r="C100" s="122">
        <f t="shared" si="34"/>
        <v>62921.445445563731</v>
      </c>
      <c r="D100" s="107">
        <f t="shared" si="35"/>
        <v>62921.445445563731</v>
      </c>
      <c r="F100" s="104" t="s">
        <v>58</v>
      </c>
      <c r="G100" s="109">
        <f>Podsumowanie!C27</f>
        <v>0</v>
      </c>
      <c r="H100" s="107">
        <f t="shared" si="36"/>
        <v>0</v>
      </c>
      <c r="I100" s="149">
        <f t="shared" si="37"/>
        <v>0</v>
      </c>
      <c r="N100" s="105" t="s">
        <v>30</v>
      </c>
      <c r="O100" s="137">
        <f>Podsumowanie!B8</f>
        <v>3890.34</v>
      </c>
      <c r="P100" s="126">
        <f>Podsumowanie!C8</f>
        <v>1434.4318600000001</v>
      </c>
      <c r="Q100" s="143">
        <f t="shared" si="33"/>
        <v>3890.34</v>
      </c>
      <c r="R100" s="143">
        <f t="shared" si="33"/>
        <v>1434.4318600000001</v>
      </c>
      <c r="S100" s="126">
        <f t="shared" si="38"/>
        <v>3890.34</v>
      </c>
      <c r="T100" s="138">
        <f t="shared" si="38"/>
        <v>1434.4318600000001</v>
      </c>
    </row>
    <row r="101" spans="1:20" ht="15" thickBot="1">
      <c r="A101" s="104" t="s">
        <v>14</v>
      </c>
      <c r="B101" s="109">
        <f>Podsumowanie!B28</f>
        <v>9568.8499999999985</v>
      </c>
      <c r="C101" s="122">
        <f t="shared" si="34"/>
        <v>10933.084445859873</v>
      </c>
      <c r="D101" s="107">
        <f t="shared" si="35"/>
        <v>10933.084445859873</v>
      </c>
      <c r="F101" s="104" t="s">
        <v>14</v>
      </c>
      <c r="G101" s="109">
        <f>Podsumowanie!C28</f>
        <v>7769.9061999999994</v>
      </c>
      <c r="H101" s="107">
        <f t="shared" si="36"/>
        <v>8363.8096010828031</v>
      </c>
      <c r="I101" s="149">
        <f t="shared" si="37"/>
        <v>8363.8096010828031</v>
      </c>
      <c r="O101" s="144">
        <f t="shared" ref="O101:T101" si="39">SUM(O97:O100)</f>
        <v>109720.01999999999</v>
      </c>
      <c r="P101" s="145">
        <f t="shared" si="39"/>
        <v>21729.14011</v>
      </c>
      <c r="Q101" s="145">
        <f t="shared" si="39"/>
        <v>109720.01999999999</v>
      </c>
      <c r="R101" s="145">
        <f t="shared" si="39"/>
        <v>21729.14011</v>
      </c>
      <c r="S101" s="145">
        <f t="shared" si="39"/>
        <v>109720.01999999999</v>
      </c>
      <c r="T101" s="146">
        <f t="shared" si="39"/>
        <v>21729.14011</v>
      </c>
    </row>
    <row r="102" spans="1:20">
      <c r="A102" s="104" t="s">
        <v>10</v>
      </c>
      <c r="B102" s="109">
        <f>Podsumowanie!B29</f>
        <v>3520.61</v>
      </c>
      <c r="C102" s="122">
        <f t="shared" si="34"/>
        <v>3444.5117863105179</v>
      </c>
      <c r="D102" s="107">
        <f t="shared" si="35"/>
        <v>3444.5117863105179</v>
      </c>
      <c r="F102" s="104" t="s">
        <v>10</v>
      </c>
      <c r="G102" s="109">
        <f>Podsumowanie!C29</f>
        <v>792.13724999999999</v>
      </c>
      <c r="H102" s="107">
        <f t="shared" si="36"/>
        <v>957.48323222992803</v>
      </c>
      <c r="I102" s="149">
        <f t="shared" si="37"/>
        <v>957.48323222992803</v>
      </c>
    </row>
    <row r="103" spans="1:20">
      <c r="A103" s="104" t="s">
        <v>6</v>
      </c>
      <c r="B103" s="109">
        <f>Podsumowanie!B30</f>
        <v>5936.03</v>
      </c>
      <c r="C103" s="122">
        <f t="shared" si="34"/>
        <v>6684.5577673900943</v>
      </c>
      <c r="D103" s="107">
        <f t="shared" si="35"/>
        <v>6684.5577673900943</v>
      </c>
      <c r="F103" s="104" t="s">
        <v>6</v>
      </c>
      <c r="G103" s="109">
        <f>Podsumowanie!C30</f>
        <v>1567.1119200000001</v>
      </c>
      <c r="H103" s="107">
        <f t="shared" si="36"/>
        <v>2182.0516764916561</v>
      </c>
      <c r="I103" s="149">
        <f t="shared" si="37"/>
        <v>2182.0516764916561</v>
      </c>
    </row>
    <row r="104" spans="1:20">
      <c r="A104" s="104" t="s">
        <v>25</v>
      </c>
      <c r="B104" s="109">
        <f>Podsumowanie!B31</f>
        <v>8114.0199999999995</v>
      </c>
      <c r="C104" s="122">
        <f t="shared" si="34"/>
        <v>9137.1902459654975</v>
      </c>
      <c r="D104" s="107">
        <f t="shared" si="35"/>
        <v>9137.1902459654975</v>
      </c>
      <c r="F104" s="104" t="s">
        <v>25</v>
      </c>
      <c r="G104" s="109">
        <f>Podsumowanie!C31</f>
        <v>2004.1629399999999</v>
      </c>
      <c r="H104" s="107">
        <f t="shared" si="36"/>
        <v>2789.459401081097</v>
      </c>
      <c r="I104" s="149">
        <f t="shared" si="37"/>
        <v>2789.459401081097</v>
      </c>
    </row>
    <row r="105" spans="1:20" ht="15" thickBot="1">
      <c r="A105" s="105" t="s">
        <v>95</v>
      </c>
      <c r="B105" s="109"/>
      <c r="C105" s="122"/>
      <c r="D105" s="107"/>
      <c r="F105" s="105" t="s">
        <v>95</v>
      </c>
      <c r="G105" s="110"/>
      <c r="H105" s="108"/>
      <c r="I105" s="150"/>
    </row>
    <row r="106" spans="1:20" ht="15" thickBot="1">
      <c r="B106" s="127">
        <f>SUM(B97:B105)</f>
        <v>110099</v>
      </c>
      <c r="C106" s="129">
        <f>SUM(C97:C105)</f>
        <v>124883.93125761519</v>
      </c>
      <c r="D106" s="128">
        <f>SUM(D97:D105)</f>
        <v>124883.93125761519</v>
      </c>
      <c r="G106" s="112">
        <f>SUM(G97:G105)</f>
        <v>22036.871869999995</v>
      </c>
      <c r="H106" s="112">
        <f>SUM(H97:H105)</f>
        <v>25592.227877076166</v>
      </c>
      <c r="I106" s="129">
        <f>SUM(I97:I105)</f>
        <v>25592.227877076166</v>
      </c>
    </row>
    <row r="107" spans="1:20" ht="15" thickBot="1"/>
    <row r="108" spans="1:20" ht="15" thickBot="1">
      <c r="B108" t="s">
        <v>121</v>
      </c>
      <c r="D108" s="139">
        <f>D106/B106-1</f>
        <v>0.13428760713190124</v>
      </c>
      <c r="G108" t="s">
        <v>121</v>
      </c>
      <c r="I108" s="139">
        <f>I106/G106-1</f>
        <v>0.1613366918884831</v>
      </c>
    </row>
    <row r="109" spans="1:20" ht="15" thickBot="1">
      <c r="B109" t="s">
        <v>122</v>
      </c>
      <c r="D109" s="139">
        <f>D105/D106-(B105/B106)</f>
        <v>0</v>
      </c>
    </row>
  </sheetData>
  <mergeCells count="49">
    <mergeCell ref="A28:A29"/>
    <mergeCell ref="B28:C28"/>
    <mergeCell ref="D28:E28"/>
    <mergeCell ref="A41:A42"/>
    <mergeCell ref="B41:C41"/>
    <mergeCell ref="D41:E41"/>
    <mergeCell ref="A54:A55"/>
    <mergeCell ref="B54:C54"/>
    <mergeCell ref="D54:E54"/>
    <mergeCell ref="A67:A68"/>
    <mergeCell ref="B67:C67"/>
    <mergeCell ref="D67:E67"/>
    <mergeCell ref="A95:A96"/>
    <mergeCell ref="F95:F96"/>
    <mergeCell ref="N28:N29"/>
    <mergeCell ref="N41:N42"/>
    <mergeCell ref="N54:N55"/>
    <mergeCell ref="N67:N68"/>
    <mergeCell ref="N80:N81"/>
    <mergeCell ref="A93:T93"/>
    <mergeCell ref="A80:A81"/>
    <mergeCell ref="B80:C80"/>
    <mergeCell ref="D80:E80"/>
    <mergeCell ref="H28:H29"/>
    <mergeCell ref="H41:H42"/>
    <mergeCell ref="H54:H55"/>
    <mergeCell ref="H67:H68"/>
    <mergeCell ref="H80:H81"/>
    <mergeCell ref="N95:N96"/>
    <mergeCell ref="B4:E4"/>
    <mergeCell ref="B5:E5"/>
    <mergeCell ref="B6:E6"/>
    <mergeCell ref="B7:E7"/>
    <mergeCell ref="B8:E8"/>
    <mergeCell ref="B9:E9"/>
    <mergeCell ref="B13:E13"/>
    <mergeCell ref="B14:E14"/>
    <mergeCell ref="B15:E15"/>
    <mergeCell ref="B22:E22"/>
    <mergeCell ref="B23:E23"/>
    <mergeCell ref="B10:E10"/>
    <mergeCell ref="B11:E11"/>
    <mergeCell ref="B12:E12"/>
    <mergeCell ref="B16:E16"/>
    <mergeCell ref="B17:E17"/>
    <mergeCell ref="B18:E18"/>
    <mergeCell ref="B19:E19"/>
    <mergeCell ref="B20:E20"/>
    <mergeCell ref="B21:E21"/>
  </mergeCells>
  <pageMargins left="0.7" right="0.7" top="0.75" bottom="0.75" header="0.3" footer="0.3"/>
  <pageSetup paperSize="66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Arkusz4!$A$1:$A$5</xm:f>
          </x14:formula1>
          <xm:sqref>F5:F23</xm:sqref>
        </x14:dataValidation>
        <x14:dataValidation type="list" allowBlank="1" showInputMessage="1" showErrorMessage="1">
          <x14:formula1>
            <xm:f>Arkusz4!$A$7:$A$15</xm:f>
          </x14:formula1>
          <xm:sqref>G5:G23</xm:sqref>
        </x14:dataValidation>
        <x14:dataValidation type="list" allowBlank="1" showInputMessage="1" showErrorMessage="1">
          <x14:formula1>
            <xm:f>Arkusz4!$A$17:$A$20</xm:f>
          </x14:formula1>
          <xm:sqref>A5:A23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H6" sqref="A1:H6"/>
    </sheetView>
  </sheetViews>
  <sheetFormatPr defaultRowHeight="14.5"/>
  <cols>
    <col min="3" max="3" width="13.26953125" customWidth="1"/>
    <col min="4" max="4" width="13.36328125" customWidth="1"/>
    <col min="5" max="5" width="12.7265625" customWidth="1"/>
    <col min="6" max="6" width="11.26953125" bestFit="1" customWidth="1"/>
    <col min="7" max="7" width="9.26953125" bestFit="1" customWidth="1"/>
  </cols>
  <sheetData>
    <row r="1" spans="1:8" ht="104">
      <c r="A1" s="369" t="s">
        <v>351</v>
      </c>
      <c r="B1" s="369" t="s">
        <v>352</v>
      </c>
      <c r="C1" s="369" t="s">
        <v>353</v>
      </c>
      <c r="D1" s="369" t="s">
        <v>354</v>
      </c>
      <c r="E1" s="369" t="s">
        <v>355</v>
      </c>
      <c r="F1" s="369" t="s">
        <v>361</v>
      </c>
      <c r="G1" s="369" t="s">
        <v>362</v>
      </c>
      <c r="H1" s="369" t="s">
        <v>363</v>
      </c>
    </row>
    <row r="2" spans="1:8" ht="15">
      <c r="A2" s="364">
        <v>1</v>
      </c>
      <c r="B2" s="364" t="s">
        <v>356</v>
      </c>
      <c r="C2" s="365">
        <v>13855562</v>
      </c>
      <c r="D2" s="364">
        <v>937</v>
      </c>
      <c r="E2" s="365">
        <v>109629</v>
      </c>
      <c r="F2" s="366">
        <f>E2/1000</f>
        <v>109.629</v>
      </c>
      <c r="G2" s="366">
        <f>('PLAN DZIAŁAŃ do roku 2027'!E16-'PLAN DZIAŁAŃ do roku 2027'!E10-'PLAN DZIAŁAŃ do roku 2027'!E11)/3.6*550/1000/1000</f>
        <v>2.2150784956585121</v>
      </c>
      <c r="H2" s="368">
        <f>G2/F2</f>
        <v>2.0205223943103669E-2</v>
      </c>
    </row>
    <row r="3" spans="1:8" ht="15">
      <c r="A3" s="364">
        <v>2</v>
      </c>
      <c r="B3" s="364" t="s">
        <v>357</v>
      </c>
      <c r="C3" s="365">
        <v>27646696</v>
      </c>
      <c r="D3" s="365">
        <v>1870</v>
      </c>
      <c r="E3" s="365">
        <v>218790</v>
      </c>
      <c r="F3" s="366">
        <f t="shared" ref="F3:F6" si="0">E3/1000</f>
        <v>218.79</v>
      </c>
      <c r="G3" s="366">
        <f>('PLAN DZIAŁAŃ do roku 2027'!E16-'PLAN DZIAŁAŃ do roku 2027'!E10-'PLAN DZIAŁAŃ do roku 2027'!E11)/3.6*100/1000/1000</f>
        <v>0.40274154466518403</v>
      </c>
      <c r="H3" s="368">
        <f t="shared" ref="H3:H6" si="1">G3/F3</f>
        <v>1.8407676066784773E-3</v>
      </c>
    </row>
    <row r="4" spans="1:8">
      <c r="A4" s="364">
        <v>3</v>
      </c>
      <c r="B4" s="364" t="s">
        <v>358</v>
      </c>
      <c r="C4" s="365">
        <v>25525287</v>
      </c>
      <c r="D4" s="365">
        <v>1727</v>
      </c>
      <c r="E4" s="365">
        <v>202059</v>
      </c>
      <c r="F4" s="366">
        <f t="shared" si="0"/>
        <v>202.059</v>
      </c>
      <c r="G4" s="366">
        <f>('PLAN DZIAŁAŃ do roku 2027'!E16-'PLAN DZIAŁAŃ do roku 2027'!E10-'PLAN DZIAŁAŃ do roku 2027'!E11)/3.6*52/1000/1000</f>
        <v>0.20942560322589568</v>
      </c>
      <c r="H4" s="368">
        <f t="shared" si="1"/>
        <v>1.0364576842699195E-3</v>
      </c>
    </row>
    <row r="5" spans="1:8">
      <c r="A5" s="364">
        <v>4</v>
      </c>
      <c r="B5" s="364" t="s">
        <v>359</v>
      </c>
      <c r="C5" s="365">
        <v>22693024</v>
      </c>
      <c r="D5" s="365">
        <v>1535</v>
      </c>
      <c r="E5" s="365">
        <v>179595</v>
      </c>
      <c r="F5" s="366">
        <f t="shared" si="0"/>
        <v>179.595</v>
      </c>
      <c r="G5" s="366">
        <f>('PLAN DZIAŁAŃ do roku 2027'!E16-'PLAN DZIAŁAŃ do roku 2027'!E10-'PLAN DZIAŁAŃ do roku 2027'!E11)/3.6*41/1000/1000</f>
        <v>0.16512403331272546</v>
      </c>
      <c r="H5" s="368">
        <f t="shared" si="1"/>
        <v>9.1942444562891762E-4</v>
      </c>
    </row>
    <row r="6" spans="1:8" ht="26">
      <c r="A6" s="364">
        <v>5</v>
      </c>
      <c r="B6" s="364" t="s">
        <v>360</v>
      </c>
      <c r="C6" s="367">
        <v>13194</v>
      </c>
      <c r="D6" s="364">
        <v>0.9</v>
      </c>
      <c r="E6" s="364">
        <v>105.3</v>
      </c>
      <c r="F6" s="366">
        <f t="shared" si="0"/>
        <v>0.10529999999999999</v>
      </c>
      <c r="G6" s="366">
        <f>('PLAN DZIAŁAŃ do roku 2027'!E16-'PLAN DZIAŁAŃ do roku 2027'!E10-'PLAN DZIAŁAŃ do roku 2027'!E11)/3.6*0.05/1000/1000</f>
        <v>2.0137077233259201E-4</v>
      </c>
      <c r="H6" s="368">
        <f t="shared" si="1"/>
        <v>1.9123530136048626E-3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workbookViewId="0">
      <selection activeCell="E11" sqref="E11"/>
    </sheetView>
  </sheetViews>
  <sheetFormatPr defaultRowHeight="14.5"/>
  <sheetData>
    <row r="1" spans="1:1">
      <c r="A1">
        <v>2021</v>
      </c>
    </row>
    <row r="2" spans="1:1">
      <c r="A2">
        <v>2022</v>
      </c>
    </row>
    <row r="3" spans="1:1">
      <c r="A3">
        <v>2023</v>
      </c>
    </row>
    <row r="4" spans="1:1">
      <c r="A4">
        <v>2024</v>
      </c>
    </row>
    <row r="5" spans="1:1">
      <c r="A5">
        <v>2025</v>
      </c>
    </row>
    <row r="7" spans="1:1">
      <c r="A7" s="104" t="s">
        <v>5</v>
      </c>
    </row>
    <row r="8" spans="1:1">
      <c r="A8" s="104" t="s">
        <v>9</v>
      </c>
    </row>
    <row r="9" spans="1:1">
      <c r="A9" s="104" t="s">
        <v>8</v>
      </c>
    </row>
    <row r="10" spans="1:1">
      <c r="A10" s="104" t="s">
        <v>58</v>
      </c>
    </row>
    <row r="11" spans="1:1">
      <c r="A11" s="104" t="s">
        <v>14</v>
      </c>
    </row>
    <row r="12" spans="1:1">
      <c r="A12" s="104" t="s">
        <v>10</v>
      </c>
    </row>
    <row r="13" spans="1:1">
      <c r="A13" s="104" t="s">
        <v>6</v>
      </c>
    </row>
    <row r="14" spans="1:1">
      <c r="A14" s="104" t="s">
        <v>25</v>
      </c>
    </row>
    <row r="15" spans="1:1" ht="15" thickBot="1">
      <c r="A15" s="105" t="s">
        <v>95</v>
      </c>
    </row>
    <row r="17" spans="1:1">
      <c r="A17" s="141" t="s">
        <v>27</v>
      </c>
    </row>
    <row r="18" spans="1:1">
      <c r="A18" s="141" t="s">
        <v>28</v>
      </c>
    </row>
    <row r="19" spans="1:1">
      <c r="A19" s="141" t="s">
        <v>29</v>
      </c>
    </row>
    <row r="20" spans="1:1" ht="15" thickBot="1">
      <c r="A20" s="105" t="s">
        <v>30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workbookViewId="0">
      <selection activeCell="D23" sqref="D23"/>
    </sheetView>
  </sheetViews>
  <sheetFormatPr defaultColWidth="8.90625" defaultRowHeight="14.5"/>
  <cols>
    <col min="1" max="16384" width="8.90625" style="62"/>
  </cols>
  <sheetData>
    <row r="1" spans="1:18">
      <c r="A1" s="363" t="s">
        <v>67</v>
      </c>
      <c r="B1" s="363" t="s">
        <v>23</v>
      </c>
      <c r="C1" s="363" t="s">
        <v>68</v>
      </c>
      <c r="D1" s="363"/>
      <c r="E1" s="363"/>
      <c r="F1" s="363"/>
      <c r="G1" s="363" t="s">
        <v>69</v>
      </c>
      <c r="H1" s="363"/>
      <c r="I1" s="363"/>
      <c r="J1" s="363"/>
      <c r="K1" s="363" t="s">
        <v>70</v>
      </c>
      <c r="L1" s="363"/>
      <c r="M1" s="363"/>
      <c r="N1" s="363"/>
      <c r="O1" s="363" t="s">
        <v>71</v>
      </c>
      <c r="P1" s="363"/>
      <c r="Q1" s="363"/>
      <c r="R1" s="363"/>
    </row>
    <row r="2" spans="1:18" ht="43.5">
      <c r="A2" s="363"/>
      <c r="B2" s="363"/>
      <c r="C2" s="63" t="s">
        <v>63</v>
      </c>
      <c r="D2" s="63" t="s">
        <v>72</v>
      </c>
      <c r="E2" s="63" t="s">
        <v>73</v>
      </c>
      <c r="F2" s="63" t="s">
        <v>74</v>
      </c>
      <c r="G2" s="63" t="s">
        <v>63</v>
      </c>
      <c r="H2" s="63" t="s">
        <v>72</v>
      </c>
      <c r="I2" s="63" t="s">
        <v>73</v>
      </c>
      <c r="J2" s="63" t="s">
        <v>74</v>
      </c>
      <c r="K2" s="63" t="s">
        <v>63</v>
      </c>
      <c r="L2" s="63" t="s">
        <v>72</v>
      </c>
      <c r="M2" s="63" t="s">
        <v>73</v>
      </c>
      <c r="N2" s="63" t="s">
        <v>74</v>
      </c>
      <c r="O2" s="63" t="s">
        <v>63</v>
      </c>
      <c r="P2" s="63" t="s">
        <v>72</v>
      </c>
      <c r="Q2" s="63" t="s">
        <v>73</v>
      </c>
      <c r="R2" s="63" t="s">
        <v>74</v>
      </c>
    </row>
    <row r="3" spans="1:18">
      <c r="A3" s="363"/>
      <c r="B3" s="363"/>
      <c r="C3" s="63" t="s">
        <v>75</v>
      </c>
      <c r="D3" s="63" t="s">
        <v>75</v>
      </c>
      <c r="E3" s="63" t="s">
        <v>75</v>
      </c>
      <c r="F3" s="63" t="s">
        <v>75</v>
      </c>
      <c r="G3" s="63" t="s">
        <v>75</v>
      </c>
      <c r="H3" s="63" t="s">
        <v>75</v>
      </c>
      <c r="I3" s="63" t="s">
        <v>75</v>
      </c>
      <c r="J3" s="63" t="s">
        <v>75</v>
      </c>
      <c r="K3" s="63" t="s">
        <v>75</v>
      </c>
      <c r="L3" s="63" t="s">
        <v>75</v>
      </c>
      <c r="M3" s="63" t="s">
        <v>75</v>
      </c>
      <c r="N3" s="63" t="s">
        <v>75</v>
      </c>
      <c r="O3" s="63" t="s">
        <v>75</v>
      </c>
      <c r="P3" s="63" t="s">
        <v>75</v>
      </c>
      <c r="Q3" s="63" t="s">
        <v>75</v>
      </c>
      <c r="R3" s="63" t="s">
        <v>75</v>
      </c>
    </row>
    <row r="4" spans="1:18">
      <c r="A4" s="363"/>
      <c r="B4" s="363"/>
      <c r="C4" s="63" t="s">
        <v>76</v>
      </c>
      <c r="D4" s="63" t="s">
        <v>76</v>
      </c>
      <c r="E4" s="63" t="s">
        <v>76</v>
      </c>
      <c r="F4" s="63" t="s">
        <v>76</v>
      </c>
      <c r="G4" s="63" t="s">
        <v>76</v>
      </c>
      <c r="H4" s="63" t="s">
        <v>76</v>
      </c>
      <c r="I4" s="63" t="s">
        <v>76</v>
      </c>
      <c r="J4" s="63" t="s">
        <v>76</v>
      </c>
      <c r="K4" s="63" t="s">
        <v>76</v>
      </c>
      <c r="L4" s="63" t="s">
        <v>76</v>
      </c>
      <c r="M4" s="63" t="s">
        <v>76</v>
      </c>
      <c r="N4" s="63" t="s">
        <v>76</v>
      </c>
      <c r="O4" s="63" t="s">
        <v>76</v>
      </c>
      <c r="P4" s="63" t="s">
        <v>76</v>
      </c>
      <c r="Q4" s="63" t="s">
        <v>76</v>
      </c>
      <c r="R4" s="63" t="s">
        <v>76</v>
      </c>
    </row>
    <row r="5" spans="1:18">
      <c r="A5" s="62" t="s">
        <v>77</v>
      </c>
      <c r="B5" s="62" t="s">
        <v>78</v>
      </c>
      <c r="C5" s="64">
        <v>26809</v>
      </c>
      <c r="D5" s="64">
        <v>12681</v>
      </c>
      <c r="E5" s="64">
        <v>5437</v>
      </c>
      <c r="F5" s="64">
        <v>16</v>
      </c>
      <c r="G5" s="64">
        <v>1099</v>
      </c>
      <c r="H5" s="64">
        <v>4249</v>
      </c>
      <c r="I5" s="64">
        <v>256</v>
      </c>
      <c r="J5" s="64">
        <v>1</v>
      </c>
      <c r="K5" s="64">
        <v>10</v>
      </c>
      <c r="L5" s="64">
        <v>144</v>
      </c>
      <c r="M5" s="64">
        <v>0</v>
      </c>
      <c r="N5" s="64">
        <v>0</v>
      </c>
      <c r="O5" s="64">
        <v>17</v>
      </c>
      <c r="P5" s="64">
        <v>853</v>
      </c>
      <c r="Q5" s="64">
        <v>3</v>
      </c>
      <c r="R5" s="64">
        <v>0</v>
      </c>
    </row>
    <row r="6" spans="1:18">
      <c r="A6" s="62" t="s">
        <v>79</v>
      </c>
      <c r="B6" s="62">
        <v>76837</v>
      </c>
    </row>
    <row r="7" spans="1:18">
      <c r="A7" s="62" t="s">
        <v>80</v>
      </c>
      <c r="B7" s="62">
        <v>6898</v>
      </c>
      <c r="C7" s="62">
        <f>INT($B$7*C5/$B$6)</f>
        <v>2406</v>
      </c>
      <c r="D7" s="62">
        <f t="shared" ref="D7:R7" si="0">INT($B$7*D5/$B$6)</f>
        <v>1138</v>
      </c>
      <c r="E7" s="62">
        <f t="shared" si="0"/>
        <v>488</v>
      </c>
      <c r="F7" s="62">
        <f t="shared" si="0"/>
        <v>1</v>
      </c>
      <c r="G7" s="62">
        <f t="shared" si="0"/>
        <v>98</v>
      </c>
      <c r="H7" s="62">
        <f t="shared" si="0"/>
        <v>381</v>
      </c>
      <c r="I7" s="62">
        <f t="shared" si="0"/>
        <v>22</v>
      </c>
      <c r="J7" s="62">
        <f t="shared" si="0"/>
        <v>0</v>
      </c>
      <c r="K7" s="62">
        <f>INT($B$7*K5/$B$6)</f>
        <v>0</v>
      </c>
      <c r="L7" s="62">
        <f t="shared" si="0"/>
        <v>12</v>
      </c>
      <c r="M7" s="62">
        <f t="shared" si="0"/>
        <v>0</v>
      </c>
      <c r="N7" s="62">
        <f t="shared" si="0"/>
        <v>0</v>
      </c>
      <c r="O7" s="62">
        <f t="shared" si="0"/>
        <v>1</v>
      </c>
      <c r="P7" s="62">
        <f t="shared" si="0"/>
        <v>76</v>
      </c>
      <c r="Q7" s="62">
        <f t="shared" si="0"/>
        <v>0</v>
      </c>
      <c r="R7" s="62">
        <f t="shared" si="0"/>
        <v>0</v>
      </c>
    </row>
    <row r="9" spans="1:18">
      <c r="A9" s="62" t="s">
        <v>81</v>
      </c>
      <c r="B9" s="62">
        <f>625.3+410.4+369+209.4+209.3+44.7</f>
        <v>1868.1</v>
      </c>
    </row>
    <row r="10" spans="1:18">
      <c r="A10" s="62" t="s">
        <v>82</v>
      </c>
      <c r="B10" s="62">
        <f>115.2+31.152</f>
        <v>146.352</v>
      </c>
      <c r="C10" s="65">
        <f>INT($B$10*C5/$B$9)</f>
        <v>2100</v>
      </c>
      <c r="D10" s="65">
        <f t="shared" ref="D10:Q10" si="1">INT($B$10*D5/$B$9)</f>
        <v>993</v>
      </c>
      <c r="E10" s="65">
        <f t="shared" si="1"/>
        <v>425</v>
      </c>
      <c r="F10" s="65">
        <f t="shared" si="1"/>
        <v>1</v>
      </c>
      <c r="G10" s="65">
        <f t="shared" si="1"/>
        <v>86</v>
      </c>
      <c r="H10" s="65">
        <f t="shared" si="1"/>
        <v>332</v>
      </c>
      <c r="I10" s="65">
        <f t="shared" si="1"/>
        <v>20</v>
      </c>
      <c r="J10" s="65">
        <f t="shared" si="1"/>
        <v>0</v>
      </c>
      <c r="K10" s="65">
        <f t="shared" si="1"/>
        <v>0</v>
      </c>
      <c r="L10" s="65">
        <f t="shared" si="1"/>
        <v>11</v>
      </c>
      <c r="M10" s="65">
        <f t="shared" si="1"/>
        <v>0</v>
      </c>
      <c r="N10" s="65">
        <f t="shared" si="1"/>
        <v>0</v>
      </c>
      <c r="O10" s="65">
        <f t="shared" si="1"/>
        <v>1</v>
      </c>
      <c r="P10" s="65">
        <f t="shared" si="1"/>
        <v>66</v>
      </c>
      <c r="Q10" s="65">
        <f t="shared" si="1"/>
        <v>0</v>
      </c>
      <c r="R10" s="65">
        <f>INT($B$10*R5/$B$9)</f>
        <v>0</v>
      </c>
    </row>
    <row r="15" spans="1:18" ht="87">
      <c r="A15" s="363" t="s">
        <v>67</v>
      </c>
      <c r="B15" s="363" t="s">
        <v>23</v>
      </c>
      <c r="C15" s="63" t="s">
        <v>83</v>
      </c>
      <c r="D15" s="63" t="s">
        <v>84</v>
      </c>
      <c r="E15" s="63" t="s">
        <v>85</v>
      </c>
      <c r="F15" s="63" t="s">
        <v>68</v>
      </c>
      <c r="G15" s="63" t="s">
        <v>86</v>
      </c>
      <c r="H15" s="63" t="s">
        <v>69</v>
      </c>
      <c r="I15" s="63" t="s">
        <v>87</v>
      </c>
      <c r="J15" s="63" t="s">
        <v>88</v>
      </c>
      <c r="K15" s="63" t="s">
        <v>89</v>
      </c>
      <c r="L15" s="63" t="s">
        <v>71</v>
      </c>
      <c r="M15" s="63" t="s">
        <v>90</v>
      </c>
      <c r="N15" s="63" t="s">
        <v>64</v>
      </c>
    </row>
    <row r="16" spans="1:18">
      <c r="A16" s="363"/>
      <c r="B16" s="363"/>
      <c r="C16" s="63" t="s">
        <v>75</v>
      </c>
      <c r="D16" s="63" t="s">
        <v>75</v>
      </c>
      <c r="E16" s="63" t="s">
        <v>75</v>
      </c>
      <c r="F16" s="63" t="s">
        <v>75</v>
      </c>
      <c r="G16" s="63" t="s">
        <v>75</v>
      </c>
      <c r="H16" s="63" t="s">
        <v>75</v>
      </c>
      <c r="I16" s="63" t="s">
        <v>75</v>
      </c>
      <c r="J16" s="63" t="s">
        <v>75</v>
      </c>
      <c r="K16" s="63" t="s">
        <v>75</v>
      </c>
      <c r="L16" s="63" t="s">
        <v>75</v>
      </c>
      <c r="M16" s="63" t="s">
        <v>75</v>
      </c>
      <c r="N16" s="63" t="s">
        <v>75</v>
      </c>
    </row>
    <row r="17" spans="1:14">
      <c r="A17" s="363"/>
      <c r="B17" s="363"/>
      <c r="C17" s="63" t="s">
        <v>76</v>
      </c>
      <c r="D17" s="63" t="s">
        <v>76</v>
      </c>
      <c r="E17" s="63" t="s">
        <v>76</v>
      </c>
      <c r="F17" s="63" t="s">
        <v>76</v>
      </c>
      <c r="G17" s="63" t="s">
        <v>76</v>
      </c>
      <c r="H17" s="63" t="s">
        <v>76</v>
      </c>
      <c r="I17" s="63" t="s">
        <v>76</v>
      </c>
      <c r="J17" s="63" t="s">
        <v>76</v>
      </c>
      <c r="K17" s="63" t="s">
        <v>76</v>
      </c>
      <c r="L17" s="63" t="s">
        <v>76</v>
      </c>
      <c r="M17" s="63" t="s">
        <v>76</v>
      </c>
      <c r="N17" s="63" t="s">
        <v>76</v>
      </c>
    </row>
    <row r="18" spans="1:14">
      <c r="A18" t="s">
        <v>77</v>
      </c>
      <c r="B18" t="s">
        <v>78</v>
      </c>
      <c r="C18" s="66">
        <v>59790</v>
      </c>
      <c r="D18" s="66">
        <v>4431</v>
      </c>
      <c r="E18" s="66">
        <v>1591</v>
      </c>
      <c r="F18" s="66">
        <v>44943</v>
      </c>
      <c r="G18" s="66">
        <v>154</v>
      </c>
      <c r="H18" s="66">
        <v>5605</v>
      </c>
      <c r="I18" s="66">
        <v>264</v>
      </c>
      <c r="J18" s="66">
        <v>507</v>
      </c>
      <c r="K18" s="66">
        <v>874</v>
      </c>
      <c r="L18" s="66">
        <v>873</v>
      </c>
      <c r="M18" s="66">
        <v>3276</v>
      </c>
      <c r="N18" s="66">
        <v>4949</v>
      </c>
    </row>
    <row r="19" spans="1:14">
      <c r="A19" t="s">
        <v>79</v>
      </c>
      <c r="B19">
        <v>76837</v>
      </c>
      <c r="C19"/>
      <c r="D19"/>
      <c r="E19"/>
      <c r="F19"/>
      <c r="G19"/>
      <c r="H19"/>
      <c r="I19"/>
      <c r="J19"/>
      <c r="K19"/>
      <c r="L19"/>
      <c r="M19"/>
      <c r="N19"/>
    </row>
    <row r="20" spans="1:14">
      <c r="A20" t="s">
        <v>80</v>
      </c>
      <c r="B20">
        <v>6898</v>
      </c>
      <c r="C20">
        <f>INT($B$20*C18/$B$19)</f>
        <v>5367</v>
      </c>
      <c r="D20">
        <f t="shared" ref="D20:N20" si="2">INT($B$20*D18/$B$19)</f>
        <v>397</v>
      </c>
      <c r="E20">
        <f t="shared" si="2"/>
        <v>142</v>
      </c>
      <c r="F20">
        <f t="shared" si="2"/>
        <v>4034</v>
      </c>
      <c r="G20">
        <f t="shared" si="2"/>
        <v>13</v>
      </c>
      <c r="H20">
        <f t="shared" si="2"/>
        <v>503</v>
      </c>
      <c r="I20">
        <f t="shared" si="2"/>
        <v>23</v>
      </c>
      <c r="J20">
        <f t="shared" si="2"/>
        <v>45</v>
      </c>
      <c r="K20">
        <f t="shared" si="2"/>
        <v>78</v>
      </c>
      <c r="L20">
        <f t="shared" si="2"/>
        <v>78</v>
      </c>
      <c r="M20">
        <f t="shared" si="2"/>
        <v>294</v>
      </c>
      <c r="N20">
        <f t="shared" si="2"/>
        <v>444</v>
      </c>
    </row>
    <row r="21" spans="1:14">
      <c r="A21"/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1:14">
      <c r="A22" t="s">
        <v>81</v>
      </c>
      <c r="B22">
        <f>625.3+410.4+369+209.4+209.3+44.7</f>
        <v>1868.1</v>
      </c>
      <c r="C22"/>
      <c r="D22"/>
      <c r="E22"/>
      <c r="F22"/>
      <c r="G22"/>
      <c r="H22"/>
      <c r="I22"/>
      <c r="J22"/>
      <c r="K22"/>
      <c r="L22"/>
      <c r="M22"/>
      <c r="N22"/>
    </row>
    <row r="23" spans="1:14">
      <c r="A23" t="s">
        <v>82</v>
      </c>
      <c r="B23">
        <f>115.2+31.152</f>
        <v>146.352</v>
      </c>
      <c r="C23" s="67">
        <f>INT($B$23*C18/$B$22)</f>
        <v>4684</v>
      </c>
      <c r="D23" s="67">
        <f t="shared" ref="D23:N23" si="3">INT($B$23*D18/$B$22)</f>
        <v>347</v>
      </c>
      <c r="E23" s="67">
        <f t="shared" si="3"/>
        <v>124</v>
      </c>
      <c r="F23" s="67">
        <f t="shared" si="3"/>
        <v>3520</v>
      </c>
      <c r="G23" s="67">
        <f t="shared" si="3"/>
        <v>12</v>
      </c>
      <c r="H23" s="67">
        <f t="shared" si="3"/>
        <v>439</v>
      </c>
      <c r="I23" s="67">
        <f t="shared" si="3"/>
        <v>20</v>
      </c>
      <c r="J23" s="67">
        <f t="shared" si="3"/>
        <v>39</v>
      </c>
      <c r="K23" s="67">
        <f t="shared" si="3"/>
        <v>68</v>
      </c>
      <c r="L23" s="67">
        <f t="shared" si="3"/>
        <v>68</v>
      </c>
      <c r="M23" s="67">
        <f t="shared" si="3"/>
        <v>256</v>
      </c>
      <c r="N23" s="67">
        <f t="shared" si="3"/>
        <v>387</v>
      </c>
    </row>
    <row r="24" spans="1:14">
      <c r="A24"/>
      <c r="B24"/>
      <c r="C24"/>
      <c r="D24"/>
      <c r="E24"/>
      <c r="F24"/>
      <c r="G24"/>
      <c r="H24"/>
      <c r="I24"/>
      <c r="J24"/>
      <c r="K24"/>
      <c r="L24"/>
      <c r="M24"/>
      <c r="N24"/>
    </row>
  </sheetData>
  <mergeCells count="8">
    <mergeCell ref="G1:J1"/>
    <mergeCell ref="K1:N1"/>
    <mergeCell ref="O1:R1"/>
    <mergeCell ref="A15:A17"/>
    <mergeCell ref="B15:B17"/>
    <mergeCell ref="A1:A4"/>
    <mergeCell ref="B1:B4"/>
    <mergeCell ref="C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view="pageBreakPreview" topLeftCell="A5" zoomScale="89" zoomScaleNormal="100" zoomScaleSheetLayoutView="89" workbookViewId="0">
      <selection activeCell="A5" sqref="A5:D6"/>
    </sheetView>
  </sheetViews>
  <sheetFormatPr defaultRowHeight="14.5"/>
  <cols>
    <col min="1" max="1" width="27.90625" style="9" customWidth="1"/>
    <col min="2" max="2" width="13.6328125" style="9" customWidth="1"/>
    <col min="3" max="4" width="13" style="9" customWidth="1"/>
  </cols>
  <sheetData>
    <row r="1" spans="1:11">
      <c r="A1" s="297" t="s">
        <v>191</v>
      </c>
      <c r="B1" s="297"/>
      <c r="C1" s="297"/>
      <c r="D1" s="297"/>
    </row>
    <row r="2" spans="1:11">
      <c r="A2" s="297"/>
      <c r="B2" s="297"/>
      <c r="C2" s="297"/>
      <c r="D2" s="297"/>
    </row>
    <row r="3" spans="1:11">
      <c r="A3" s="297"/>
      <c r="B3" s="297"/>
      <c r="C3" s="297"/>
      <c r="D3" s="297"/>
      <c r="F3" s="14"/>
      <c r="G3" s="14"/>
      <c r="H3" s="14"/>
      <c r="I3" s="14"/>
      <c r="J3" s="14"/>
      <c r="K3" s="14"/>
    </row>
    <row r="4" spans="1:11" ht="30" customHeight="1">
      <c r="A4" s="297"/>
      <c r="B4" s="297"/>
      <c r="C4" s="297"/>
      <c r="D4" s="297"/>
      <c r="F4" s="14"/>
      <c r="G4" s="14"/>
      <c r="H4" s="14"/>
      <c r="I4" s="14"/>
      <c r="J4" s="14"/>
      <c r="K4" s="14"/>
    </row>
    <row r="5" spans="1:11">
      <c r="A5" s="297" t="s">
        <v>192</v>
      </c>
      <c r="B5" s="297"/>
      <c r="C5" s="297"/>
      <c r="D5" s="297"/>
      <c r="F5" s="14"/>
      <c r="G5" s="14"/>
      <c r="H5" s="14"/>
      <c r="I5" s="14"/>
      <c r="J5" s="14"/>
      <c r="K5" s="14"/>
    </row>
    <row r="6" spans="1:11" ht="47.5" customHeight="1">
      <c r="A6" s="298"/>
      <c r="B6" s="298"/>
      <c r="C6" s="298"/>
      <c r="D6" s="298"/>
      <c r="F6" s="14"/>
      <c r="G6" s="14"/>
      <c r="H6" s="14"/>
      <c r="I6" s="14"/>
      <c r="J6" s="14"/>
      <c r="K6" s="14"/>
    </row>
    <row r="7" spans="1:11" ht="28">
      <c r="A7" s="299" t="s">
        <v>11</v>
      </c>
      <c r="B7" s="300"/>
      <c r="C7" s="301"/>
      <c r="D7" s="250" t="s">
        <v>180</v>
      </c>
      <c r="F7" s="296"/>
      <c r="G7" s="296"/>
      <c r="H7" s="296"/>
      <c r="I7" s="296"/>
      <c r="J7" s="14"/>
      <c r="K7" s="14"/>
    </row>
    <row r="8" spans="1:11">
      <c r="A8" s="302"/>
      <c r="B8" s="303"/>
      <c r="C8" s="304"/>
      <c r="D8" s="172" t="s">
        <v>1</v>
      </c>
      <c r="F8" s="69"/>
      <c r="G8" s="69"/>
      <c r="H8" s="69"/>
      <c r="I8" s="69"/>
      <c r="J8" s="14"/>
      <c r="K8" s="14"/>
    </row>
    <row r="9" spans="1:11">
      <c r="A9" s="293" t="s">
        <v>5</v>
      </c>
      <c r="B9" s="294"/>
      <c r="C9" s="295"/>
      <c r="D9" s="12">
        <v>0.33400000000000002</v>
      </c>
      <c r="F9" s="14"/>
      <c r="G9" s="14"/>
      <c r="H9" s="14"/>
      <c r="I9" s="14"/>
      <c r="J9" s="14"/>
      <c r="K9" s="14"/>
    </row>
    <row r="10" spans="1:11">
      <c r="A10" s="293" t="s">
        <v>9</v>
      </c>
      <c r="B10" s="294"/>
      <c r="C10" s="295"/>
      <c r="D10" s="12">
        <v>0.20100000000000001</v>
      </c>
      <c r="F10" s="14"/>
      <c r="G10" s="15"/>
      <c r="H10" s="15"/>
      <c r="I10" s="15"/>
      <c r="J10" s="14"/>
      <c r="K10" s="14"/>
    </row>
    <row r="11" spans="1:11">
      <c r="A11" s="293" t="s">
        <v>8</v>
      </c>
      <c r="B11" s="294"/>
      <c r="C11" s="295"/>
      <c r="D11" s="12">
        <v>0.27600000000000002</v>
      </c>
      <c r="F11" s="14"/>
      <c r="G11" s="15"/>
      <c r="H11" s="15"/>
      <c r="I11" s="15"/>
      <c r="J11" s="14"/>
      <c r="K11" s="14"/>
    </row>
    <row r="12" spans="1:11">
      <c r="A12" s="293" t="s">
        <v>193</v>
      </c>
      <c r="B12" s="294"/>
      <c r="C12" s="295"/>
      <c r="D12" s="12">
        <v>0</v>
      </c>
      <c r="F12" s="14"/>
      <c r="G12" s="14"/>
      <c r="H12" s="14"/>
      <c r="I12" s="14"/>
      <c r="J12" s="14"/>
      <c r="K12" s="14"/>
    </row>
    <row r="13" spans="1:11">
      <c r="A13" s="293" t="s">
        <v>6</v>
      </c>
      <c r="B13" s="294"/>
      <c r="C13" s="295"/>
      <c r="D13" s="12">
        <v>0.26400000000000001</v>
      </c>
      <c r="F13" s="14"/>
      <c r="G13" s="14"/>
      <c r="H13" s="14"/>
      <c r="I13" s="14"/>
      <c r="J13" s="14"/>
      <c r="K13" s="14"/>
    </row>
    <row r="14" spans="1:11">
      <c r="A14" s="293" t="s">
        <v>7</v>
      </c>
      <c r="B14" s="294"/>
      <c r="C14" s="295"/>
      <c r="D14" s="12">
        <v>0.247</v>
      </c>
      <c r="F14" s="14"/>
      <c r="G14" s="14"/>
      <c r="H14" s="14"/>
      <c r="I14" s="14"/>
      <c r="J14" s="14"/>
      <c r="K14" s="14"/>
    </row>
    <row r="15" spans="1:11">
      <c r="A15" s="293" t="s">
        <v>10</v>
      </c>
      <c r="B15" s="294"/>
      <c r="C15" s="295"/>
      <c r="D15" s="12">
        <v>0.22500000000000001</v>
      </c>
      <c r="F15" s="14"/>
      <c r="G15" s="14"/>
      <c r="H15" s="14"/>
      <c r="I15" s="14"/>
      <c r="J15" s="14"/>
      <c r="K15" s="14"/>
    </row>
    <row r="16" spans="1:11">
      <c r="A16" s="293" t="s">
        <v>14</v>
      </c>
      <c r="B16" s="294"/>
      <c r="C16" s="295"/>
      <c r="D16" s="12">
        <v>0.81200000000000006</v>
      </c>
      <c r="F16" s="14"/>
      <c r="G16" s="14"/>
      <c r="H16" s="14"/>
      <c r="I16" s="14"/>
      <c r="J16" s="14"/>
      <c r="K16" s="14"/>
    </row>
    <row r="17" spans="1:11">
      <c r="F17" s="14"/>
      <c r="G17" s="14"/>
      <c r="H17" s="14"/>
      <c r="I17" s="14"/>
      <c r="J17" s="14"/>
      <c r="K17" s="14"/>
    </row>
    <row r="18" spans="1:11">
      <c r="A18" s="169" t="s">
        <v>11</v>
      </c>
      <c r="B18" s="170" t="s">
        <v>17</v>
      </c>
      <c r="C18" s="170" t="s">
        <v>16</v>
      </c>
      <c r="F18" s="14"/>
      <c r="G18" s="14"/>
      <c r="H18" s="14"/>
      <c r="I18" s="14"/>
      <c r="J18" s="14"/>
      <c r="K18" s="14"/>
    </row>
    <row r="19" spans="1:11">
      <c r="A19" s="169" t="s">
        <v>8</v>
      </c>
      <c r="B19" s="16">
        <v>9.89</v>
      </c>
      <c r="C19" s="13" t="s">
        <v>181</v>
      </c>
      <c r="F19" s="14"/>
      <c r="G19" s="14"/>
      <c r="H19" s="14"/>
      <c r="I19" s="14"/>
      <c r="J19" s="14"/>
      <c r="K19" s="14"/>
    </row>
    <row r="20" spans="1:11">
      <c r="A20" s="169" t="s">
        <v>6</v>
      </c>
      <c r="B20" s="16">
        <v>0.83</v>
      </c>
      <c r="C20" s="13" t="s">
        <v>38</v>
      </c>
      <c r="F20" s="14"/>
      <c r="G20" s="14"/>
      <c r="H20" s="14"/>
      <c r="I20" s="14"/>
      <c r="J20" s="14"/>
      <c r="K20" s="14"/>
    </row>
    <row r="21" spans="1:11">
      <c r="A21" s="169" t="s">
        <v>25</v>
      </c>
      <c r="B21" s="16">
        <v>0.7</v>
      </c>
      <c r="C21" s="13" t="s">
        <v>38</v>
      </c>
      <c r="F21" s="14"/>
      <c r="G21" s="14"/>
      <c r="H21" s="14"/>
      <c r="I21" s="14"/>
      <c r="J21" s="14"/>
      <c r="K21" s="14"/>
    </row>
    <row r="22" spans="1:11">
      <c r="A22" s="169" t="s">
        <v>10</v>
      </c>
      <c r="B22" s="16">
        <v>0.54</v>
      </c>
      <c r="C22" s="13" t="s">
        <v>38</v>
      </c>
      <c r="F22" s="14"/>
      <c r="G22" s="14"/>
      <c r="H22" s="14"/>
      <c r="I22" s="14"/>
      <c r="J22" s="14"/>
      <c r="K22" s="14"/>
    </row>
    <row r="23" spans="1:11" ht="15">
      <c r="A23" s="169" t="s">
        <v>9</v>
      </c>
      <c r="B23" s="237">
        <v>103</v>
      </c>
      <c r="C23" s="13" t="s">
        <v>182</v>
      </c>
      <c r="F23" s="14"/>
      <c r="G23" s="14"/>
      <c r="H23" s="14"/>
      <c r="I23" s="14"/>
      <c r="J23" s="14"/>
      <c r="K23" s="14"/>
    </row>
    <row r="24" spans="1:11">
      <c r="F24" s="14"/>
      <c r="G24" s="14"/>
      <c r="H24" s="14"/>
      <c r="I24" s="14"/>
      <c r="J24" s="14"/>
      <c r="K24" s="14"/>
    </row>
    <row r="25" spans="1:11">
      <c r="F25" s="14"/>
      <c r="G25" s="14"/>
      <c r="H25" s="14"/>
      <c r="I25" s="14"/>
      <c r="J25" s="14"/>
      <c r="K25" s="14"/>
    </row>
  </sheetData>
  <mergeCells count="13">
    <mergeCell ref="H7:I7"/>
    <mergeCell ref="A1:D4"/>
    <mergeCell ref="F7:G7"/>
    <mergeCell ref="A5:D6"/>
    <mergeCell ref="A7:C8"/>
    <mergeCell ref="A14:C14"/>
    <mergeCell ref="A15:C15"/>
    <mergeCell ref="A16:C16"/>
    <mergeCell ref="A9:C9"/>
    <mergeCell ref="A10:C10"/>
    <mergeCell ref="A11:C11"/>
    <mergeCell ref="A12:C12"/>
    <mergeCell ref="A13:C13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 differentFirst="1">
    <oddFooter>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view="pageBreakPreview" zoomScale="89" zoomScaleNormal="100" zoomScaleSheetLayoutView="89" workbookViewId="0">
      <selection activeCell="A12" sqref="A12:C12"/>
    </sheetView>
  </sheetViews>
  <sheetFormatPr defaultRowHeight="14.5"/>
  <cols>
    <col min="1" max="1" width="27.90625" style="9" customWidth="1"/>
    <col min="2" max="2" width="13.6328125" style="9" customWidth="1"/>
    <col min="3" max="4" width="13" style="9" customWidth="1"/>
  </cols>
  <sheetData>
    <row r="1" spans="1:11">
      <c r="A1" s="297" t="s">
        <v>165</v>
      </c>
      <c r="B1" s="297"/>
      <c r="C1" s="297"/>
      <c r="D1" s="297"/>
    </row>
    <row r="2" spans="1:11">
      <c r="A2" s="297"/>
      <c r="B2" s="297"/>
      <c r="C2" s="297"/>
      <c r="D2" s="297"/>
    </row>
    <row r="3" spans="1:11">
      <c r="A3" s="297"/>
      <c r="B3" s="297"/>
      <c r="C3" s="297"/>
      <c r="D3" s="297"/>
      <c r="F3" s="14"/>
      <c r="G3" s="14"/>
      <c r="H3" s="14"/>
      <c r="I3" s="14"/>
      <c r="J3" s="14"/>
      <c r="K3" s="14"/>
    </row>
    <row r="4" spans="1:11">
      <c r="A4" s="297"/>
      <c r="B4" s="297"/>
      <c r="C4" s="297"/>
      <c r="D4" s="297"/>
      <c r="F4" s="14"/>
      <c r="G4" s="14"/>
      <c r="H4" s="14"/>
      <c r="I4" s="14"/>
      <c r="J4" s="14"/>
      <c r="K4" s="14"/>
    </row>
    <row r="5" spans="1:11">
      <c r="A5" s="297" t="str">
        <f>'Wskaźniki emisji 2014'!A5:D6</f>
        <v>Źródło danych: Wartości opałowe (WO) i wskaźniki emisji CO2 (WE) w roku 2011 do raportowania w ramach Wspólnotowego Systemu Handlu Uprawnieniami do Emisji za rok 2014 - KOBIZE, misyjności dwutlenku węgla przy produkcji energii elektrycznej do wyznaczania poziomu bazowego dla projektów JI realizowanych w Polsce” - KOBIZE</v>
      </c>
      <c r="B5" s="297"/>
      <c r="C5" s="297"/>
      <c r="D5" s="297"/>
      <c r="F5" s="14"/>
      <c r="G5" s="14"/>
      <c r="H5" s="14"/>
      <c r="I5" s="14"/>
      <c r="J5" s="14"/>
      <c r="K5" s="14"/>
    </row>
    <row r="6" spans="1:11" ht="50.5" customHeight="1">
      <c r="A6" s="297"/>
      <c r="B6" s="297"/>
      <c r="C6" s="297"/>
      <c r="D6" s="297"/>
      <c r="F6" s="14"/>
      <c r="G6" s="14"/>
      <c r="H6" s="14"/>
      <c r="I6" s="14"/>
      <c r="J6" s="14"/>
      <c r="K6" s="14"/>
    </row>
    <row r="7" spans="1:11" ht="28">
      <c r="A7" s="299" t="s">
        <v>11</v>
      </c>
      <c r="B7" s="300"/>
      <c r="C7" s="301"/>
      <c r="D7" s="250" t="s">
        <v>180</v>
      </c>
      <c r="F7" s="296"/>
      <c r="G7" s="296"/>
      <c r="H7" s="296"/>
      <c r="I7" s="296"/>
      <c r="J7" s="14"/>
      <c r="K7" s="14"/>
    </row>
    <row r="8" spans="1:11">
      <c r="A8" s="302"/>
      <c r="B8" s="303"/>
      <c r="C8" s="304"/>
      <c r="D8" s="234" t="str">
        <f>'Wskaźniki emisji 2014'!D8</f>
        <v>Mg/MWh</v>
      </c>
      <c r="F8" s="95"/>
      <c r="G8" s="95"/>
      <c r="H8" s="95"/>
      <c r="I8" s="95"/>
      <c r="J8" s="14"/>
      <c r="K8" s="14"/>
    </row>
    <row r="9" spans="1:11">
      <c r="A9" s="293" t="str">
        <f>'Wskaźniki emisji 2014'!A9:C9</f>
        <v>Węgiel kamienny</v>
      </c>
      <c r="B9" s="294"/>
      <c r="C9" s="295"/>
      <c r="D9" s="12">
        <f>'Wskaźniki emisji 2014'!D9</f>
        <v>0.33400000000000002</v>
      </c>
      <c r="F9" s="14"/>
      <c r="G9" s="14"/>
      <c r="H9" s="14"/>
      <c r="I9" s="14"/>
      <c r="J9" s="14"/>
      <c r="K9" s="14"/>
    </row>
    <row r="10" spans="1:11">
      <c r="A10" s="293" t="str">
        <f>'Wskaźniki emisji 2014'!A10:C10</f>
        <v>Gaz ziemny</v>
      </c>
      <c r="B10" s="294"/>
      <c r="C10" s="295"/>
      <c r="D10" s="12">
        <f>'Wskaźniki emisji 2014'!D10</f>
        <v>0.20100000000000001</v>
      </c>
      <c r="F10" s="14"/>
      <c r="G10" s="15"/>
      <c r="H10" s="15"/>
      <c r="I10" s="15"/>
      <c r="J10" s="14"/>
      <c r="K10" s="14"/>
    </row>
    <row r="11" spans="1:11">
      <c r="A11" s="293" t="str">
        <f>'Wskaźniki emisji 2014'!A11:C11</f>
        <v>Olej opałowy</v>
      </c>
      <c r="B11" s="294"/>
      <c r="C11" s="295"/>
      <c r="D11" s="12">
        <f>'Wskaźniki emisji 2014'!D11</f>
        <v>0.27600000000000002</v>
      </c>
      <c r="F11" s="14"/>
      <c r="G11" s="15"/>
      <c r="H11" s="15"/>
      <c r="I11" s="15"/>
      <c r="J11" s="14"/>
      <c r="K11" s="14"/>
    </row>
    <row r="12" spans="1:11">
      <c r="A12" s="293" t="s">
        <v>193</v>
      </c>
      <c r="B12" s="294"/>
      <c r="C12" s="295"/>
      <c r="D12" s="12">
        <f>'Wskaźniki emisji 2014'!D12</f>
        <v>0</v>
      </c>
      <c r="F12" s="14"/>
      <c r="G12" s="14"/>
      <c r="H12" s="14"/>
      <c r="I12" s="14"/>
      <c r="J12" s="14"/>
      <c r="K12" s="14"/>
    </row>
    <row r="13" spans="1:11">
      <c r="A13" s="293" t="str">
        <f>'Wskaźniki emisji 2014'!A13:C13</f>
        <v>Olej napędowy</v>
      </c>
      <c r="B13" s="294"/>
      <c r="C13" s="295"/>
      <c r="D13" s="12">
        <f>'Wskaźniki emisji 2014'!D13</f>
        <v>0.26400000000000001</v>
      </c>
      <c r="F13" s="14"/>
      <c r="G13" s="14"/>
      <c r="H13" s="14"/>
      <c r="I13" s="14"/>
      <c r="J13" s="14"/>
      <c r="K13" s="14"/>
    </row>
    <row r="14" spans="1:11">
      <c r="A14" s="293" t="str">
        <f>'Wskaźniki emisji 2014'!A14:C14</f>
        <v>Benzyna silnikowa</v>
      </c>
      <c r="B14" s="294"/>
      <c r="C14" s="295"/>
      <c r="D14" s="12">
        <f>'Wskaźniki emisji 2014'!D14</f>
        <v>0.247</v>
      </c>
      <c r="F14" s="14"/>
      <c r="G14" s="14"/>
      <c r="H14" s="14"/>
      <c r="I14" s="14"/>
      <c r="J14" s="14"/>
      <c r="K14" s="14"/>
    </row>
    <row r="15" spans="1:11">
      <c r="A15" s="293" t="str">
        <f>'Wskaźniki emisji 2014'!A15:C15</f>
        <v>LPG</v>
      </c>
      <c r="B15" s="294"/>
      <c r="C15" s="295"/>
      <c r="D15" s="12">
        <f>'Wskaźniki emisji 2014'!D15</f>
        <v>0.22500000000000001</v>
      </c>
      <c r="F15" s="14"/>
      <c r="G15" s="14"/>
      <c r="H15" s="14"/>
      <c r="I15" s="14"/>
      <c r="J15" s="14"/>
      <c r="K15" s="14"/>
    </row>
    <row r="16" spans="1:11">
      <c r="A16" s="293" t="str">
        <f>'Wskaźniki emisji 2014'!A16:C16</f>
        <v>Energia elektryczna</v>
      </c>
      <c r="B16" s="294"/>
      <c r="C16" s="295"/>
      <c r="D16" s="12">
        <f>'Wskaźniki emisji 2014'!D16</f>
        <v>0.81200000000000006</v>
      </c>
      <c r="F16" s="14"/>
      <c r="G16" s="14"/>
      <c r="H16" s="14"/>
      <c r="I16" s="14"/>
      <c r="J16" s="14"/>
      <c r="K16" s="14"/>
    </row>
    <row r="17" spans="1:11">
      <c r="F17" s="14"/>
      <c r="G17" s="14"/>
      <c r="H17" s="14"/>
      <c r="I17" s="14"/>
      <c r="J17" s="14"/>
      <c r="K17" s="14"/>
    </row>
    <row r="18" spans="1:11">
      <c r="A18" s="169" t="s">
        <v>11</v>
      </c>
      <c r="B18" s="170" t="s">
        <v>17</v>
      </c>
      <c r="C18" s="170" t="s">
        <v>16</v>
      </c>
      <c r="F18" s="14"/>
      <c r="G18" s="14"/>
      <c r="H18" s="14"/>
      <c r="I18" s="14"/>
      <c r="J18" s="14"/>
      <c r="K18" s="14"/>
    </row>
    <row r="19" spans="1:11">
      <c r="A19" s="169" t="s">
        <v>8</v>
      </c>
      <c r="B19" s="16">
        <f>'Wskaźniki emisji 2014'!B19</f>
        <v>9.89</v>
      </c>
      <c r="C19" s="13" t="s">
        <v>38</v>
      </c>
      <c r="F19" s="14"/>
      <c r="G19" s="14"/>
      <c r="H19" s="14"/>
      <c r="I19" s="14"/>
      <c r="J19" s="14"/>
      <c r="K19" s="14"/>
    </row>
    <row r="20" spans="1:11">
      <c r="A20" s="169" t="s">
        <v>6</v>
      </c>
      <c r="B20" s="16">
        <f>'Wskaźniki emisji 2014'!B20</f>
        <v>0.83</v>
      </c>
      <c r="C20" s="13" t="s">
        <v>38</v>
      </c>
      <c r="F20" s="14"/>
      <c r="G20" s="14"/>
      <c r="H20" s="14"/>
      <c r="I20" s="14"/>
      <c r="J20" s="14"/>
      <c r="K20" s="14"/>
    </row>
    <row r="21" spans="1:11">
      <c r="A21" s="169" t="s">
        <v>25</v>
      </c>
      <c r="B21" s="16">
        <f>'Wskaźniki emisji 2014'!B21</f>
        <v>0.7</v>
      </c>
      <c r="C21" s="13" t="s">
        <v>38</v>
      </c>
      <c r="F21" s="14"/>
      <c r="G21" s="14"/>
      <c r="H21" s="14"/>
      <c r="I21" s="14"/>
      <c r="J21" s="14"/>
      <c r="K21" s="14"/>
    </row>
    <row r="22" spans="1:11">
      <c r="A22" s="169" t="s">
        <v>10</v>
      </c>
      <c r="B22" s="16">
        <f>'Wskaźniki emisji 2014'!B22</f>
        <v>0.54</v>
      </c>
      <c r="C22" s="13" t="s">
        <v>38</v>
      </c>
      <c r="F22" s="14"/>
      <c r="G22" s="14"/>
      <c r="H22" s="14"/>
      <c r="I22" s="14"/>
      <c r="J22" s="14"/>
      <c r="K22" s="14"/>
    </row>
    <row r="23" spans="1:11">
      <c r="A23" s="169" t="s">
        <v>9</v>
      </c>
      <c r="B23" s="16">
        <f>'Wskaźniki emisji 2014'!B23</f>
        <v>103</v>
      </c>
      <c r="C23" s="13" t="s">
        <v>18</v>
      </c>
      <c r="F23" s="14"/>
      <c r="G23" s="14"/>
      <c r="H23" s="14"/>
      <c r="I23" s="14"/>
      <c r="J23" s="14"/>
      <c r="K23" s="14"/>
    </row>
    <row r="24" spans="1:11">
      <c r="F24" s="14"/>
      <c r="G24" s="14"/>
      <c r="H24" s="14"/>
      <c r="I24" s="14"/>
      <c r="J24" s="14"/>
      <c r="K24" s="14"/>
    </row>
    <row r="25" spans="1:11">
      <c r="F25" s="14"/>
      <c r="G25" s="14"/>
      <c r="H25" s="14"/>
      <c r="I25" s="14"/>
      <c r="J25" s="14"/>
      <c r="K25" s="14"/>
    </row>
  </sheetData>
  <mergeCells count="13">
    <mergeCell ref="H7:I7"/>
    <mergeCell ref="A5:D6"/>
    <mergeCell ref="A1:D4"/>
    <mergeCell ref="F7:G7"/>
    <mergeCell ref="A7:C8"/>
    <mergeCell ref="A14:C14"/>
    <mergeCell ref="A15:C15"/>
    <mergeCell ref="A16:C16"/>
    <mergeCell ref="A9:C9"/>
    <mergeCell ref="A10:C10"/>
    <mergeCell ref="A11:C11"/>
    <mergeCell ref="A12:C12"/>
    <mergeCell ref="A13:C13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 differentFirst="1">
    <oddFooter>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view="pageBreakPreview" topLeftCell="A38" zoomScale="85" zoomScaleNormal="100" zoomScaleSheetLayoutView="85" workbookViewId="0">
      <selection activeCell="I55" sqref="I55"/>
    </sheetView>
  </sheetViews>
  <sheetFormatPr defaultColWidth="8.90625" defaultRowHeight="14.5"/>
  <cols>
    <col min="1" max="3" width="6.6328125" style="24" customWidth="1"/>
    <col min="4" max="4" width="6.90625" style="24" customWidth="1"/>
    <col min="5" max="6" width="6.453125" style="24" customWidth="1"/>
    <col min="7" max="7" width="6.36328125" style="24" customWidth="1"/>
    <col min="8" max="8" width="6.453125" style="24" customWidth="1"/>
    <col min="9" max="9" width="7.54296875" style="24" customWidth="1"/>
    <col min="10" max="12" width="7.36328125" style="24" customWidth="1"/>
    <col min="13" max="13" width="6.36328125" style="24" customWidth="1"/>
    <col min="14" max="14" width="6.6328125" style="24" customWidth="1"/>
    <col min="15" max="15" width="6.7265625" style="24" customWidth="1"/>
    <col min="16" max="16" width="7" style="24" customWidth="1"/>
    <col min="17" max="16384" width="8.90625" style="18"/>
  </cols>
  <sheetData>
    <row r="1" spans="1:16">
      <c r="A1" s="305" t="s">
        <v>172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</row>
    <row r="2" spans="1:16">
      <c r="A2" s="173">
        <v>2015</v>
      </c>
      <c r="B2" s="173">
        <v>2016</v>
      </c>
      <c r="C2" s="173">
        <f t="shared" ref="C2:P2" si="0">1+B2</f>
        <v>2017</v>
      </c>
      <c r="D2" s="173">
        <f t="shared" si="0"/>
        <v>2018</v>
      </c>
      <c r="E2" s="173">
        <f t="shared" si="0"/>
        <v>2019</v>
      </c>
      <c r="F2" s="173">
        <f t="shared" si="0"/>
        <v>2020</v>
      </c>
      <c r="G2" s="173">
        <f t="shared" si="0"/>
        <v>2021</v>
      </c>
      <c r="H2" s="173">
        <f t="shared" si="0"/>
        <v>2022</v>
      </c>
      <c r="I2" s="173">
        <f t="shared" si="0"/>
        <v>2023</v>
      </c>
      <c r="J2" s="173">
        <f t="shared" si="0"/>
        <v>2024</v>
      </c>
      <c r="K2" s="173">
        <f t="shared" si="0"/>
        <v>2025</v>
      </c>
      <c r="L2" s="173">
        <f t="shared" si="0"/>
        <v>2026</v>
      </c>
      <c r="M2" s="173">
        <f t="shared" si="0"/>
        <v>2027</v>
      </c>
      <c r="N2" s="173">
        <f t="shared" si="0"/>
        <v>2028</v>
      </c>
      <c r="O2" s="173">
        <f t="shared" si="0"/>
        <v>2029</v>
      </c>
      <c r="P2" s="173">
        <f t="shared" si="0"/>
        <v>2030</v>
      </c>
    </row>
    <row r="3" spans="1:16">
      <c r="A3" s="72">
        <v>11708</v>
      </c>
      <c r="B3" s="72">
        <v>11696</v>
      </c>
      <c r="C3" s="72">
        <v>11684</v>
      </c>
      <c r="D3" s="72">
        <v>11694</v>
      </c>
      <c r="E3" s="72">
        <v>11652</v>
      </c>
      <c r="F3" s="72">
        <v>11623</v>
      </c>
      <c r="G3" s="72">
        <v>11588</v>
      </c>
      <c r="H3" s="72">
        <f>0.99*G3</f>
        <v>11472.12</v>
      </c>
      <c r="I3" s="72">
        <f>0.995*H3</f>
        <v>11414.759400000001</v>
      </c>
      <c r="J3" s="72">
        <f t="shared" ref="J3:P3" si="1">0.995*I3</f>
        <v>11357.685603</v>
      </c>
      <c r="K3" s="72">
        <f t="shared" si="1"/>
        <v>11300.897174985001</v>
      </c>
      <c r="L3" s="72">
        <f t="shared" si="1"/>
        <v>11244.392689110076</v>
      </c>
      <c r="M3" s="72">
        <f t="shared" si="1"/>
        <v>11188.170725664526</v>
      </c>
      <c r="N3" s="72">
        <f t="shared" si="1"/>
        <v>11132.229872036203</v>
      </c>
      <c r="O3" s="72">
        <f t="shared" si="1"/>
        <v>11076.568722676022</v>
      </c>
      <c r="P3" s="72">
        <f t="shared" si="1"/>
        <v>11021.185879062641</v>
      </c>
    </row>
    <row r="4" spans="1:16" ht="4.25" customHeight="1"/>
    <row r="5" spans="1:16">
      <c r="A5" s="73"/>
      <c r="B5" s="73"/>
      <c r="C5" s="73"/>
      <c r="D5" s="73"/>
    </row>
    <row r="6" spans="1:16">
      <c r="A6" s="165"/>
    </row>
    <row r="7" spans="1:16" ht="18" customHeight="1">
      <c r="A7" s="165"/>
    </row>
    <row r="8" spans="1:16">
      <c r="A8" s="166"/>
    </row>
    <row r="9" spans="1:16">
      <c r="A9" s="166"/>
    </row>
    <row r="10" spans="1:16">
      <c r="A10" s="165"/>
    </row>
    <row r="11" spans="1:16">
      <c r="A11" s="165"/>
    </row>
    <row r="18" spans="1:16" ht="4.25" customHeight="1"/>
    <row r="32" spans="1:16">
      <c r="A32" s="305" t="s">
        <v>171</v>
      </c>
      <c r="B32" s="305"/>
      <c r="C32" s="305"/>
      <c r="D32" s="305"/>
      <c r="E32" s="305"/>
      <c r="F32" s="305"/>
      <c r="G32" s="305"/>
      <c r="H32" s="305"/>
      <c r="I32" s="305"/>
      <c r="J32" s="305"/>
      <c r="K32" s="305"/>
      <c r="L32" s="305"/>
      <c r="M32" s="305"/>
      <c r="N32" s="305"/>
      <c r="O32" s="305"/>
      <c r="P32" s="305"/>
    </row>
    <row r="33" spans="1:16">
      <c r="A33" s="173">
        <v>2015</v>
      </c>
      <c r="B33" s="173">
        <v>2016</v>
      </c>
      <c r="C33" s="173">
        <v>2017</v>
      </c>
      <c r="D33" s="173">
        <v>2018</v>
      </c>
      <c r="E33" s="173">
        <v>2019</v>
      </c>
      <c r="F33" s="173">
        <v>2020</v>
      </c>
      <c r="G33" s="173">
        <v>2021</v>
      </c>
      <c r="H33" s="173">
        <v>2022</v>
      </c>
      <c r="I33" s="173">
        <v>2023</v>
      </c>
      <c r="J33" s="173">
        <v>2024</v>
      </c>
      <c r="K33" s="173">
        <v>2025</v>
      </c>
      <c r="L33" s="173">
        <v>2026</v>
      </c>
      <c r="M33" s="173">
        <v>2027</v>
      </c>
      <c r="N33" s="173">
        <v>2028</v>
      </c>
      <c r="O33" s="173">
        <v>2029</v>
      </c>
      <c r="P33" s="173">
        <v>2030</v>
      </c>
    </row>
    <row r="34" spans="1:16" s="19" customFormat="1" ht="13">
      <c r="A34" s="79">
        <f>J53</f>
        <v>293259</v>
      </c>
      <c r="B34" s="79">
        <f t="shared" ref="B34:F34" si="2">K53</f>
        <v>298644</v>
      </c>
      <c r="C34" s="79">
        <f t="shared" si="2"/>
        <v>304254</v>
      </c>
      <c r="D34" s="79">
        <f t="shared" si="2"/>
        <v>309061</v>
      </c>
      <c r="E34" s="79">
        <f t="shared" si="2"/>
        <v>314270</v>
      </c>
      <c r="F34" s="79">
        <f t="shared" si="2"/>
        <v>317339</v>
      </c>
      <c r="G34" s="80">
        <f>F34*1.0025</f>
        <v>318132.34749999997</v>
      </c>
      <c r="H34" s="80">
        <f t="shared" ref="H34:P34" si="3">G34*1.0025</f>
        <v>318927.67836874997</v>
      </c>
      <c r="I34" s="80">
        <f t="shared" si="3"/>
        <v>319724.99756467185</v>
      </c>
      <c r="J34" s="80">
        <f t="shared" si="3"/>
        <v>320524.31005858351</v>
      </c>
      <c r="K34" s="80">
        <f t="shared" si="3"/>
        <v>321325.62083372998</v>
      </c>
      <c r="L34" s="80">
        <f t="shared" si="3"/>
        <v>322128.93488581426</v>
      </c>
      <c r="M34" s="80">
        <f t="shared" si="3"/>
        <v>322934.25722302881</v>
      </c>
      <c r="N34" s="80">
        <f t="shared" si="3"/>
        <v>323741.59286608634</v>
      </c>
      <c r="O34" s="80">
        <f t="shared" si="3"/>
        <v>324550.94684825157</v>
      </c>
      <c r="P34" s="80">
        <f t="shared" si="3"/>
        <v>325362.32421537215</v>
      </c>
    </row>
    <row r="35" spans="1:16">
      <c r="A35" s="73"/>
      <c r="B35" s="73"/>
      <c r="C35" s="73"/>
      <c r="D35" s="73"/>
    </row>
    <row r="51" spans="1:16">
      <c r="A51" s="305" t="s">
        <v>197</v>
      </c>
      <c r="B51" s="305"/>
      <c r="C51" s="305"/>
      <c r="D51" s="305"/>
      <c r="E51" s="305"/>
      <c r="F51" s="305"/>
      <c r="G51" s="305"/>
      <c r="I51" s="305" t="s">
        <v>198</v>
      </c>
      <c r="J51" s="305"/>
      <c r="K51" s="305"/>
      <c r="L51" s="305"/>
      <c r="M51" s="305"/>
      <c r="N51" s="305"/>
      <c r="O51" s="305"/>
    </row>
    <row r="52" spans="1:16">
      <c r="A52" s="173"/>
      <c r="B52" s="173">
        <v>2015</v>
      </c>
      <c r="C52" s="173">
        <f t="shared" ref="C52" si="4">1+B52</f>
        <v>2016</v>
      </c>
      <c r="D52" s="173">
        <f t="shared" ref="D52" si="5">1+C52</f>
        <v>2017</v>
      </c>
      <c r="E52" s="173">
        <f t="shared" ref="E52" si="6">1+D52</f>
        <v>2018</v>
      </c>
      <c r="F52" s="173">
        <f t="shared" ref="F52" si="7">1+E52</f>
        <v>2019</v>
      </c>
      <c r="G52" s="173">
        <f t="shared" ref="G52" si="8">1+F52</f>
        <v>2020</v>
      </c>
      <c r="I52" s="173"/>
      <c r="J52" s="173">
        <v>2015</v>
      </c>
      <c r="K52" s="173">
        <f t="shared" ref="K52" si="9">1+J52</f>
        <v>2016</v>
      </c>
      <c r="L52" s="173">
        <f t="shared" ref="L52" si="10">1+K52</f>
        <v>2017</v>
      </c>
      <c r="M52" s="173">
        <f t="shared" ref="M52" si="11">1+L52</f>
        <v>2018</v>
      </c>
      <c r="N52" s="173">
        <f t="shared" ref="N52" si="12">1+M52</f>
        <v>2019</v>
      </c>
      <c r="O52" s="173">
        <f t="shared" ref="O52" si="13">1+N52</f>
        <v>2020</v>
      </c>
    </row>
    <row r="53" spans="1:16" ht="24">
      <c r="A53" s="72" t="s">
        <v>194</v>
      </c>
      <c r="B53" s="72">
        <v>3092</v>
      </c>
      <c r="C53" s="72">
        <v>3132</v>
      </c>
      <c r="D53" s="72">
        <v>3173</v>
      </c>
      <c r="E53" s="72">
        <v>3207</v>
      </c>
      <c r="F53" s="72">
        <v>3240</v>
      </c>
      <c r="G53" s="72">
        <v>3263</v>
      </c>
      <c r="I53" s="72" t="s">
        <v>194</v>
      </c>
      <c r="J53" s="72">
        <f>J55+J54</f>
        <v>293259</v>
      </c>
      <c r="K53" s="72">
        <f t="shared" ref="K53:O53" si="14">K55+K54</f>
        <v>298644</v>
      </c>
      <c r="L53" s="72">
        <f t="shared" si="14"/>
        <v>304254</v>
      </c>
      <c r="M53" s="72">
        <f t="shared" si="14"/>
        <v>309061</v>
      </c>
      <c r="N53" s="72">
        <f t="shared" si="14"/>
        <v>314270</v>
      </c>
      <c r="O53" s="72">
        <f t="shared" si="14"/>
        <v>317339</v>
      </c>
    </row>
    <row r="54" spans="1:16" ht="36">
      <c r="A54" s="252" t="s">
        <v>195</v>
      </c>
      <c r="B54" s="251">
        <v>817</v>
      </c>
      <c r="C54" s="251">
        <v>830</v>
      </c>
      <c r="D54" s="251">
        <v>842</v>
      </c>
      <c r="E54" s="251">
        <v>845</v>
      </c>
      <c r="F54" s="251">
        <v>856</v>
      </c>
      <c r="G54" s="251">
        <v>862</v>
      </c>
      <c r="I54" s="252" t="s">
        <v>195</v>
      </c>
      <c r="J54" s="251">
        <v>77247</v>
      </c>
      <c r="K54" s="251">
        <v>78976</v>
      </c>
      <c r="L54" s="251">
        <v>80488</v>
      </c>
      <c r="M54" s="251">
        <v>80881</v>
      </c>
      <c r="N54" s="251">
        <v>82496</v>
      </c>
      <c r="O54" s="251">
        <v>83347</v>
      </c>
    </row>
    <row r="55" spans="1:16" ht="48">
      <c r="A55" s="252" t="s">
        <v>196</v>
      </c>
      <c r="B55" s="251">
        <v>2275</v>
      </c>
      <c r="C55" s="251">
        <v>2302</v>
      </c>
      <c r="D55" s="251">
        <v>2331</v>
      </c>
      <c r="E55" s="251">
        <v>2362</v>
      </c>
      <c r="F55" s="251">
        <v>2384</v>
      </c>
      <c r="G55" s="251">
        <v>2401</v>
      </c>
      <c r="I55" s="252" t="s">
        <v>196</v>
      </c>
      <c r="J55" s="251">
        <v>216012</v>
      </c>
      <c r="K55" s="251">
        <v>219668</v>
      </c>
      <c r="L55" s="251">
        <v>223766</v>
      </c>
      <c r="M55" s="251">
        <v>228180</v>
      </c>
      <c r="N55" s="251">
        <v>231774</v>
      </c>
      <c r="O55" s="251">
        <v>233992</v>
      </c>
    </row>
    <row r="57" spans="1:16">
      <c r="A57" s="305" t="s">
        <v>199</v>
      </c>
      <c r="B57" s="305"/>
      <c r="C57" s="305"/>
      <c r="D57" s="305"/>
      <c r="E57" s="305"/>
      <c r="F57" s="305"/>
      <c r="G57" s="305"/>
      <c r="H57" s="305"/>
    </row>
    <row r="58" spans="1:16">
      <c r="A58" s="173"/>
      <c r="B58" s="173">
        <v>2015</v>
      </c>
      <c r="C58" s="173">
        <f t="shared" ref="C58" si="15">1+B58</f>
        <v>2016</v>
      </c>
      <c r="D58" s="173">
        <f t="shared" ref="D58" si="16">1+C58</f>
        <v>2017</v>
      </c>
      <c r="E58" s="173">
        <f t="shared" ref="E58" si="17">1+D58</f>
        <v>2018</v>
      </c>
      <c r="F58" s="173">
        <f t="shared" ref="F58" si="18">1+E58</f>
        <v>2019</v>
      </c>
      <c r="G58" s="173">
        <f t="shared" ref="G58:H58" si="19">1+F58</f>
        <v>2020</v>
      </c>
      <c r="H58" s="173">
        <f t="shared" si="19"/>
        <v>2021</v>
      </c>
    </row>
    <row r="59" spans="1:16" ht="24">
      <c r="A59" s="72" t="s">
        <v>194</v>
      </c>
      <c r="B59" s="72">
        <f>B60+B61</f>
        <v>3030</v>
      </c>
      <c r="C59" s="72">
        <f t="shared" ref="C59:H59" si="20">C60+C61</f>
        <v>3062</v>
      </c>
      <c r="D59" s="72">
        <f t="shared" si="20"/>
        <v>3097</v>
      </c>
      <c r="E59" s="72">
        <f t="shared" si="20"/>
        <v>3126</v>
      </c>
      <c r="F59" s="72">
        <f t="shared" si="20"/>
        <v>3181</v>
      </c>
      <c r="G59" s="72">
        <f t="shared" si="20"/>
        <v>3099</v>
      </c>
      <c r="H59" s="72">
        <f t="shared" si="20"/>
        <v>3159</v>
      </c>
      <c r="J59" s="306" t="s">
        <v>344</v>
      </c>
      <c r="K59" s="306"/>
      <c r="L59" s="306"/>
      <c r="M59" s="306"/>
      <c r="N59" s="306"/>
      <c r="O59" s="281">
        <f>O53/G53</f>
        <v>97.253754213913581</v>
      </c>
      <c r="P59" s="281"/>
    </row>
    <row r="60" spans="1:16" ht="36">
      <c r="A60" s="252" t="s">
        <v>195</v>
      </c>
      <c r="B60" s="251">
        <v>784</v>
      </c>
      <c r="C60" s="251">
        <v>795</v>
      </c>
      <c r="D60" s="251">
        <v>806</v>
      </c>
      <c r="E60" s="251">
        <v>809</v>
      </c>
      <c r="F60" s="251">
        <v>826</v>
      </c>
      <c r="G60" s="251">
        <v>801</v>
      </c>
      <c r="H60" s="251">
        <v>818</v>
      </c>
    </row>
    <row r="61" spans="1:16" ht="48">
      <c r="A61" s="252" t="s">
        <v>196</v>
      </c>
      <c r="B61" s="251">
        <v>2246</v>
      </c>
      <c r="C61" s="251">
        <v>2267</v>
      </c>
      <c r="D61" s="251">
        <v>2291</v>
      </c>
      <c r="E61" s="251">
        <v>2317</v>
      </c>
      <c r="F61" s="251">
        <v>2355</v>
      </c>
      <c r="G61" s="251">
        <v>2298</v>
      </c>
      <c r="H61" s="251">
        <v>2341</v>
      </c>
    </row>
    <row r="63" spans="1:16">
      <c r="A63" s="305" t="s">
        <v>173</v>
      </c>
      <c r="B63" s="305"/>
      <c r="C63" s="305"/>
      <c r="D63" s="305"/>
      <c r="E63" s="305"/>
      <c r="F63" s="305"/>
      <c r="G63" s="305"/>
      <c r="H63" s="305"/>
      <c r="I63" s="305"/>
      <c r="J63" s="305"/>
      <c r="K63" s="305"/>
      <c r="L63" s="305"/>
      <c r="M63" s="305"/>
      <c r="N63" s="305"/>
      <c r="O63" s="305"/>
      <c r="P63" s="305"/>
    </row>
    <row r="64" spans="1:16">
      <c r="A64" s="173">
        <v>2015</v>
      </c>
      <c r="B64" s="173">
        <f t="shared" ref="B64:P64" si="21">1+A64</f>
        <v>2016</v>
      </c>
      <c r="C64" s="173">
        <f t="shared" si="21"/>
        <v>2017</v>
      </c>
      <c r="D64" s="173">
        <f t="shared" si="21"/>
        <v>2018</v>
      </c>
      <c r="E64" s="173">
        <f t="shared" si="21"/>
        <v>2019</v>
      </c>
      <c r="F64" s="173">
        <f t="shared" si="21"/>
        <v>2020</v>
      </c>
      <c r="G64" s="173">
        <f t="shared" si="21"/>
        <v>2021</v>
      </c>
      <c r="H64" s="173">
        <f t="shared" si="21"/>
        <v>2022</v>
      </c>
      <c r="I64" s="173">
        <f t="shared" si="21"/>
        <v>2023</v>
      </c>
      <c r="J64" s="173">
        <f t="shared" si="21"/>
        <v>2024</v>
      </c>
      <c r="K64" s="173">
        <f t="shared" si="21"/>
        <v>2025</v>
      </c>
      <c r="L64" s="173">
        <f t="shared" si="21"/>
        <v>2026</v>
      </c>
      <c r="M64" s="173">
        <f t="shared" si="21"/>
        <v>2027</v>
      </c>
      <c r="N64" s="173">
        <f t="shared" si="21"/>
        <v>2028</v>
      </c>
      <c r="O64" s="173">
        <f t="shared" si="21"/>
        <v>2029</v>
      </c>
      <c r="P64" s="173">
        <f t="shared" si="21"/>
        <v>2030</v>
      </c>
    </row>
    <row r="65" spans="1:16">
      <c r="A65" s="72">
        <v>622</v>
      </c>
      <c r="B65" s="72">
        <v>626</v>
      </c>
      <c r="C65" s="72">
        <v>624</v>
      </c>
      <c r="D65" s="72">
        <v>673</v>
      </c>
      <c r="E65" s="72">
        <v>726</v>
      </c>
      <c r="F65" s="72">
        <v>764</v>
      </c>
      <c r="G65" s="72">
        <v>792</v>
      </c>
      <c r="H65" s="72">
        <f>1.025*G65</f>
        <v>811.8</v>
      </c>
      <c r="I65" s="72">
        <f t="shared" ref="I65:P65" si="22">1.025*H65</f>
        <v>832.09499999999991</v>
      </c>
      <c r="J65" s="72">
        <f t="shared" si="22"/>
        <v>852.89737499999978</v>
      </c>
      <c r="K65" s="72">
        <f t="shared" si="22"/>
        <v>874.21980937499973</v>
      </c>
      <c r="L65" s="72">
        <f t="shared" si="22"/>
        <v>896.0753046093746</v>
      </c>
      <c r="M65" s="72">
        <f t="shared" si="22"/>
        <v>918.47718722460888</v>
      </c>
      <c r="N65" s="72">
        <f t="shared" si="22"/>
        <v>941.43911690522407</v>
      </c>
      <c r="O65" s="72">
        <f t="shared" si="22"/>
        <v>964.9750948278546</v>
      </c>
      <c r="P65" s="72">
        <f t="shared" si="22"/>
        <v>989.09947219855087</v>
      </c>
    </row>
  </sheetData>
  <mergeCells count="7">
    <mergeCell ref="A1:P1"/>
    <mergeCell ref="A32:P32"/>
    <mergeCell ref="A63:P63"/>
    <mergeCell ref="A51:G51"/>
    <mergeCell ref="I51:O51"/>
    <mergeCell ref="A57:H57"/>
    <mergeCell ref="J59:N59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headerFooter differentFirst="1">
    <oddFooter>Strona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view="pageBreakPreview" zoomScale="60" zoomScaleNormal="100" workbookViewId="0">
      <selection activeCell="L49" sqref="L49"/>
    </sheetView>
  </sheetViews>
  <sheetFormatPr defaultRowHeight="14.5"/>
  <cols>
    <col min="2" max="2" width="18.08984375" customWidth="1"/>
  </cols>
  <sheetData>
    <row r="1" spans="1:6">
      <c r="A1" s="97" t="s">
        <v>256</v>
      </c>
    </row>
    <row r="2" spans="1:6">
      <c r="A2" t="s">
        <v>257</v>
      </c>
      <c r="F2">
        <v>729</v>
      </c>
    </row>
    <row r="3" spans="1:6">
      <c r="A3" t="s">
        <v>258</v>
      </c>
    </row>
    <row r="4" spans="1:6">
      <c r="A4" t="s">
        <v>259</v>
      </c>
      <c r="F4">
        <v>712</v>
      </c>
    </row>
    <row r="5" spans="1:6">
      <c r="A5" t="s">
        <v>260</v>
      </c>
      <c r="F5">
        <v>13</v>
      </c>
    </row>
    <row r="6" spans="1:6">
      <c r="A6" t="s">
        <v>261</v>
      </c>
      <c r="F6">
        <v>1</v>
      </c>
    </row>
    <row r="7" spans="1:6">
      <c r="A7" t="s">
        <v>262</v>
      </c>
      <c r="F7">
        <v>3</v>
      </c>
    </row>
    <row r="9" spans="1:6">
      <c r="A9" t="s">
        <v>263</v>
      </c>
    </row>
    <row r="10" spans="1:6">
      <c r="A10" t="s">
        <v>264</v>
      </c>
      <c r="B10">
        <v>174</v>
      </c>
    </row>
    <row r="11" spans="1:6">
      <c r="A11" t="s">
        <v>265</v>
      </c>
      <c r="B11">
        <v>119</v>
      </c>
    </row>
    <row r="12" spans="1:6">
      <c r="A12" t="s">
        <v>266</v>
      </c>
      <c r="B12">
        <v>170</v>
      </c>
    </row>
    <row r="13" spans="1:6">
      <c r="A13" t="s">
        <v>267</v>
      </c>
      <c r="B13">
        <v>114</v>
      </c>
    </row>
    <row r="14" spans="1:6">
      <c r="A14" t="s">
        <v>268</v>
      </c>
      <c r="B14">
        <v>93</v>
      </c>
    </row>
    <row r="15" spans="1:6">
      <c r="A15" t="s">
        <v>269</v>
      </c>
      <c r="B15">
        <v>37</v>
      </c>
    </row>
    <row r="16" spans="1:6">
      <c r="A16" t="s">
        <v>270</v>
      </c>
      <c r="B16">
        <v>6</v>
      </c>
    </row>
    <row r="18" spans="1:7">
      <c r="A18" t="s">
        <v>271</v>
      </c>
      <c r="F18">
        <v>96877.04</v>
      </c>
      <c r="G18" t="s">
        <v>272</v>
      </c>
    </row>
    <row r="19" spans="1:7">
      <c r="A19" t="s">
        <v>302</v>
      </c>
      <c r="F19">
        <f>SUM(C20:C27)</f>
        <v>733</v>
      </c>
      <c r="G19" t="s">
        <v>303</v>
      </c>
    </row>
    <row r="20" spans="1:7">
      <c r="A20" t="s">
        <v>273</v>
      </c>
      <c r="C20">
        <v>634</v>
      </c>
    </row>
    <row r="21" spans="1:7">
      <c r="A21" t="s">
        <v>274</v>
      </c>
      <c r="C21">
        <v>2</v>
      </c>
    </row>
    <row r="22" spans="1:7">
      <c r="A22" t="s">
        <v>280</v>
      </c>
      <c r="C22">
        <v>88</v>
      </c>
    </row>
    <row r="23" spans="1:7">
      <c r="A23" t="s">
        <v>275</v>
      </c>
      <c r="C23">
        <v>7</v>
      </c>
    </row>
    <row r="24" spans="1:7">
      <c r="A24" t="s">
        <v>276</v>
      </c>
      <c r="C24">
        <v>0</v>
      </c>
    </row>
    <row r="25" spans="1:7">
      <c r="A25" t="s">
        <v>277</v>
      </c>
      <c r="C25">
        <v>0</v>
      </c>
    </row>
    <row r="26" spans="1:7">
      <c r="A26" t="s">
        <v>278</v>
      </c>
      <c r="C26">
        <v>1</v>
      </c>
    </row>
    <row r="27" spans="1:7">
      <c r="A27" t="s">
        <v>279</v>
      </c>
      <c r="C27">
        <v>1</v>
      </c>
    </row>
    <row r="29" spans="1:7">
      <c r="A29" t="s">
        <v>281</v>
      </c>
      <c r="F29">
        <f>SUM(C30:C33)</f>
        <v>55</v>
      </c>
      <c r="G29" t="s">
        <v>303</v>
      </c>
    </row>
    <row r="30" spans="1:7">
      <c r="A30" t="s">
        <v>282</v>
      </c>
      <c r="C30">
        <v>43</v>
      </c>
    </row>
    <row r="31" spans="1:7">
      <c r="A31" t="s">
        <v>284</v>
      </c>
      <c r="C31">
        <v>4</v>
      </c>
    </row>
    <row r="32" spans="1:7">
      <c r="A32" t="s">
        <v>283</v>
      </c>
      <c r="C32">
        <v>7</v>
      </c>
    </row>
    <row r="33" spans="1:7">
      <c r="A33" t="s">
        <v>279</v>
      </c>
      <c r="C33">
        <v>1</v>
      </c>
    </row>
    <row r="35" spans="1:7">
      <c r="A35" t="s">
        <v>285</v>
      </c>
      <c r="F35">
        <f>SUM(C36:C40)</f>
        <v>948</v>
      </c>
      <c r="G35" t="s">
        <v>303</v>
      </c>
    </row>
    <row r="36" spans="1:7">
      <c r="A36" t="s">
        <v>286</v>
      </c>
      <c r="C36">
        <v>195</v>
      </c>
    </row>
    <row r="37" spans="1:7">
      <c r="A37" t="s">
        <v>290</v>
      </c>
      <c r="C37">
        <v>48</v>
      </c>
    </row>
    <row r="38" spans="1:7">
      <c r="A38" t="s">
        <v>287</v>
      </c>
      <c r="C38">
        <v>161</v>
      </c>
    </row>
    <row r="39" spans="1:7">
      <c r="A39" t="s">
        <v>288</v>
      </c>
      <c r="C39">
        <v>342</v>
      </c>
    </row>
    <row r="40" spans="1:7">
      <c r="A40" t="s">
        <v>289</v>
      </c>
      <c r="C40">
        <v>202</v>
      </c>
    </row>
    <row r="42" spans="1:7">
      <c r="A42" t="s">
        <v>291</v>
      </c>
      <c r="F42">
        <f>SUM(D43:D48)</f>
        <v>746</v>
      </c>
      <c r="G42" t="s">
        <v>303</v>
      </c>
    </row>
    <row r="43" spans="1:7">
      <c r="A43" t="s">
        <v>304</v>
      </c>
      <c r="D43">
        <v>589</v>
      </c>
    </row>
    <row r="44" spans="1:7">
      <c r="A44" t="s">
        <v>305</v>
      </c>
      <c r="D44">
        <v>53</v>
      </c>
    </row>
    <row r="45" spans="1:7">
      <c r="A45" t="s">
        <v>306</v>
      </c>
      <c r="D45">
        <v>12</v>
      </c>
    </row>
    <row r="46" spans="1:7">
      <c r="A46" t="s">
        <v>307</v>
      </c>
      <c r="D46">
        <v>24</v>
      </c>
    </row>
    <row r="47" spans="1:7">
      <c r="A47" t="s">
        <v>308</v>
      </c>
      <c r="D47">
        <v>68</v>
      </c>
    </row>
    <row r="48" spans="1:7">
      <c r="A48" t="s">
        <v>279</v>
      </c>
      <c r="D48">
        <v>0</v>
      </c>
    </row>
    <row r="50" spans="1:7">
      <c r="A50" t="s">
        <v>299</v>
      </c>
      <c r="E50">
        <v>118</v>
      </c>
      <c r="F50" t="s">
        <v>300</v>
      </c>
    </row>
    <row r="51" spans="1:7">
      <c r="A51" t="s">
        <v>301</v>
      </c>
      <c r="E51">
        <v>45</v>
      </c>
      <c r="F51" t="s">
        <v>300</v>
      </c>
    </row>
    <row r="53" spans="1:7">
      <c r="A53" t="s">
        <v>292</v>
      </c>
    </row>
    <row r="54" spans="1:7">
      <c r="A54" t="s">
        <v>293</v>
      </c>
      <c r="C54">
        <v>731.6</v>
      </c>
      <c r="D54" t="s">
        <v>297</v>
      </c>
      <c r="E54" t="s">
        <v>310</v>
      </c>
      <c r="F54">
        <f>C54*1000*22.37/1000/3.6</f>
        <v>4546.0811111111107</v>
      </c>
      <c r="G54" t="s">
        <v>309</v>
      </c>
    </row>
    <row r="55" spans="1:7">
      <c r="A55" t="s">
        <v>294</v>
      </c>
      <c r="C55">
        <v>5286.3</v>
      </c>
      <c r="D55" t="s">
        <v>296</v>
      </c>
      <c r="E55" t="s">
        <v>310</v>
      </c>
      <c r="F55">
        <f>C55*600*15.6/1000/3.6</f>
        <v>13744.38</v>
      </c>
      <c r="G55" t="s">
        <v>309</v>
      </c>
    </row>
    <row r="56" spans="1:7">
      <c r="A56" t="s">
        <v>295</v>
      </c>
      <c r="C56">
        <v>180.5</v>
      </c>
      <c r="D56" t="s">
        <v>296</v>
      </c>
      <c r="E56" t="s">
        <v>310</v>
      </c>
      <c r="F56">
        <f>C56*20.7/1000/3.6</f>
        <v>1.0378749999999999</v>
      </c>
      <c r="G56" t="s">
        <v>309</v>
      </c>
    </row>
    <row r="57" spans="1:7">
      <c r="A57" t="s">
        <v>298</v>
      </c>
      <c r="C57">
        <v>29.3</v>
      </c>
      <c r="D57" t="s">
        <v>296</v>
      </c>
      <c r="E57" t="s">
        <v>310</v>
      </c>
      <c r="F57">
        <f>C57*600*15.6/1000/3.6</f>
        <v>76.179999999999993</v>
      </c>
      <c r="G57" t="s">
        <v>309</v>
      </c>
    </row>
    <row r="59" spans="1:7">
      <c r="A59" t="s">
        <v>333</v>
      </c>
    </row>
    <row r="60" spans="1:7">
      <c r="A60" t="s">
        <v>334</v>
      </c>
      <c r="C60">
        <v>43</v>
      </c>
      <c r="D60" t="s">
        <v>303</v>
      </c>
      <c r="E60" s="277">
        <f>C60/SUM($C$60:$C$63)</f>
        <v>0.36440677966101692</v>
      </c>
    </row>
    <row r="61" spans="1:7">
      <c r="A61" t="s">
        <v>335</v>
      </c>
      <c r="C61">
        <v>50</v>
      </c>
      <c r="D61" t="s">
        <v>303</v>
      </c>
      <c r="E61" s="277">
        <f t="shared" ref="E61:E63" si="0">C61/SUM($C$60:$C$63)</f>
        <v>0.42372881355932202</v>
      </c>
    </row>
    <row r="62" spans="1:7">
      <c r="A62" t="s">
        <v>336</v>
      </c>
      <c r="C62">
        <v>7</v>
      </c>
      <c r="D62" t="s">
        <v>303</v>
      </c>
      <c r="E62" s="277">
        <f t="shared" si="0"/>
        <v>5.9322033898305086E-2</v>
      </c>
    </row>
    <row r="63" spans="1:7">
      <c r="A63" t="s">
        <v>337</v>
      </c>
      <c r="C63">
        <f>118-C60-C61-C62</f>
        <v>18</v>
      </c>
      <c r="D63" t="s">
        <v>303</v>
      </c>
      <c r="E63" s="277">
        <f t="shared" si="0"/>
        <v>0.15254237288135594</v>
      </c>
    </row>
  </sheetData>
  <pageMargins left="0.7" right="0.7" top="0.75" bottom="0.75" header="0.3" footer="0.3"/>
  <pageSetup paperSize="9" scale="97" orientation="portrait" r:id="rId1"/>
  <rowBreaks count="1" manualBreakCount="1">
    <brk id="51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view="pageBreakPreview" topLeftCell="A2" zoomScale="60" zoomScaleNormal="60" workbookViewId="0">
      <selection activeCell="E15" sqref="E15"/>
    </sheetView>
  </sheetViews>
  <sheetFormatPr defaultRowHeight="14.5"/>
  <cols>
    <col min="1" max="1" width="22.26953125" customWidth="1"/>
    <col min="2" max="3" width="16.1796875" customWidth="1"/>
    <col min="4" max="4" width="20" customWidth="1"/>
    <col min="5" max="11" width="16.1796875" customWidth="1"/>
    <col min="12" max="12" width="14.36328125" style="200" customWidth="1"/>
    <col min="13" max="15" width="8.7265625" style="200"/>
    <col min="16" max="16" width="12.08984375" style="200" customWidth="1"/>
    <col min="17" max="20" width="8.7265625" style="200"/>
  </cols>
  <sheetData>
    <row r="1" spans="1:19" ht="15" thickBot="1">
      <c r="A1" s="209"/>
      <c r="B1" s="308" t="s">
        <v>27</v>
      </c>
      <c r="C1" s="309"/>
      <c r="D1" s="308" t="s">
        <v>93</v>
      </c>
      <c r="E1" s="309"/>
      <c r="F1" s="308" t="s">
        <v>94</v>
      </c>
      <c r="G1" s="309"/>
      <c r="H1" s="308" t="s">
        <v>148</v>
      </c>
      <c r="I1" s="309"/>
      <c r="J1" s="308" t="s">
        <v>29</v>
      </c>
      <c r="K1" s="309"/>
    </row>
    <row r="2" spans="1:19">
      <c r="A2" s="210" t="s">
        <v>200</v>
      </c>
      <c r="B2" s="211"/>
      <c r="C2" s="212"/>
      <c r="D2" s="211"/>
      <c r="E2" s="212"/>
      <c r="F2" s="211"/>
      <c r="G2" s="212"/>
      <c r="H2" s="211"/>
      <c r="I2" s="212"/>
      <c r="J2" s="211"/>
      <c r="K2" s="212"/>
    </row>
    <row r="3" spans="1:19" ht="15">
      <c r="A3" s="307" t="s">
        <v>24</v>
      </c>
      <c r="B3" s="213" t="s">
        <v>19</v>
      </c>
      <c r="C3" s="214" t="s">
        <v>185</v>
      </c>
      <c r="D3" s="213" t="s">
        <v>19</v>
      </c>
      <c r="E3" s="214" t="s">
        <v>185</v>
      </c>
      <c r="F3" s="213" t="s">
        <v>19</v>
      </c>
      <c r="G3" s="214" t="s">
        <v>185</v>
      </c>
      <c r="H3" s="213" t="s">
        <v>19</v>
      </c>
      <c r="I3" s="214" t="s">
        <v>185</v>
      </c>
      <c r="J3" s="213" t="s">
        <v>19</v>
      </c>
      <c r="K3" s="214" t="s">
        <v>185</v>
      </c>
    </row>
    <row r="4" spans="1:19">
      <c r="A4" s="307"/>
      <c r="B4" s="213" t="s">
        <v>21</v>
      </c>
      <c r="C4" s="214" t="s">
        <v>20</v>
      </c>
      <c r="D4" s="213" t="s">
        <v>21</v>
      </c>
      <c r="E4" s="214" t="s">
        <v>20</v>
      </c>
      <c r="F4" s="213" t="s">
        <v>21</v>
      </c>
      <c r="G4" s="214" t="s">
        <v>20</v>
      </c>
      <c r="H4" s="213" t="s">
        <v>21</v>
      </c>
      <c r="I4" s="214" t="s">
        <v>20</v>
      </c>
      <c r="J4" s="213" t="s">
        <v>21</v>
      </c>
      <c r="K4" s="214" t="s">
        <v>20</v>
      </c>
    </row>
    <row r="5" spans="1:19">
      <c r="A5" s="215" t="s">
        <v>5</v>
      </c>
      <c r="B5" s="216">
        <v>0</v>
      </c>
      <c r="C5" s="217">
        <v>0</v>
      </c>
      <c r="D5" s="216">
        <v>24170.78</v>
      </c>
      <c r="E5" s="217">
        <f>D5*'Wskaźniki emisji 2014'!D9</f>
        <v>8073.0405200000005</v>
      </c>
      <c r="F5" s="216">
        <v>637.15</v>
      </c>
      <c r="G5" s="217">
        <f>F5*'Wskaźniki emisji 2014'!D9</f>
        <v>212.8081</v>
      </c>
      <c r="H5" s="216">
        <v>0</v>
      </c>
      <c r="I5" s="217">
        <v>0</v>
      </c>
      <c r="J5" s="216">
        <v>0</v>
      </c>
      <c r="K5" s="217">
        <v>0</v>
      </c>
      <c r="L5" s="205"/>
      <c r="N5" s="200" t="s">
        <v>160</v>
      </c>
    </row>
    <row r="6" spans="1:19">
      <c r="A6" s="218" t="s">
        <v>9</v>
      </c>
      <c r="B6" s="216">
        <v>1654.36</v>
      </c>
      <c r="C6" s="217">
        <f>B6*'Wskaźniki emisji 2014'!D10</f>
        <v>332.52636000000001</v>
      </c>
      <c r="D6" s="216">
        <v>5639.63</v>
      </c>
      <c r="E6" s="217">
        <f>D6*'Wskaźniki emisji 2014'!D10</f>
        <v>1133.5656300000001</v>
      </c>
      <c r="F6" s="216">
        <v>738.31</v>
      </c>
      <c r="G6" s="217">
        <f>F6*'Wskaźniki emisji 2014'!D10</f>
        <v>148.40030999999999</v>
      </c>
      <c r="H6" s="216">
        <v>0</v>
      </c>
      <c r="I6" s="217">
        <v>0</v>
      </c>
      <c r="J6" s="216">
        <v>0</v>
      </c>
      <c r="K6" s="217">
        <v>0</v>
      </c>
      <c r="L6" s="205"/>
    </row>
    <row r="7" spans="1:19">
      <c r="A7" s="218" t="s">
        <v>8</v>
      </c>
      <c r="B7" s="216">
        <v>0</v>
      </c>
      <c r="C7" s="217">
        <v>0</v>
      </c>
      <c r="D7" s="216">
        <v>0</v>
      </c>
      <c r="E7" s="217">
        <f>D7*'Wskaźniki emisji 2014'!D11</f>
        <v>0</v>
      </c>
      <c r="F7" s="216">
        <v>11.64</v>
      </c>
      <c r="G7" s="217">
        <f>F7*'Wskaźniki emisji 2014'!D11</f>
        <v>3.2126400000000004</v>
      </c>
      <c r="H7" s="216">
        <v>0</v>
      </c>
      <c r="I7" s="217">
        <v>0</v>
      </c>
      <c r="J7" s="216">
        <v>0</v>
      </c>
      <c r="K7" s="217">
        <v>0</v>
      </c>
      <c r="L7" s="205"/>
    </row>
    <row r="8" spans="1:19">
      <c r="A8" s="218" t="s">
        <v>201</v>
      </c>
      <c r="B8" s="216">
        <v>13</v>
      </c>
      <c r="C8" s="217">
        <v>0</v>
      </c>
      <c r="D8" s="216">
        <f>48736.44+174.95</f>
        <v>48911.39</v>
      </c>
      <c r="E8" s="217">
        <f>D8*'Wskaźniki emisji 2014'!D12</f>
        <v>0</v>
      </c>
      <c r="F8" s="216">
        <v>1183.23</v>
      </c>
      <c r="G8" s="217">
        <f>F8*0</f>
        <v>0</v>
      </c>
      <c r="H8" s="216">
        <v>0</v>
      </c>
      <c r="I8" s="217">
        <v>0</v>
      </c>
      <c r="J8" s="216">
        <v>0</v>
      </c>
      <c r="K8" s="217">
        <v>0</v>
      </c>
      <c r="L8" s="205"/>
    </row>
    <row r="9" spans="1:19">
      <c r="A9" s="218" t="s">
        <v>14</v>
      </c>
      <c r="B9" s="216">
        <v>298.01</v>
      </c>
      <c r="C9" s="217">
        <f>B9*'Wskaźniki emisji 2014'!D16</f>
        <v>241.98412000000002</v>
      </c>
      <c r="D9" s="216">
        <v>7574.98</v>
      </c>
      <c r="E9" s="217">
        <f>D9*'Wskaźniki emisji 2014'!D16</f>
        <v>6150.8837599999997</v>
      </c>
      <c r="F9" s="216">
        <v>1316.88</v>
      </c>
      <c r="G9" s="217">
        <f>F9*'Wskaźniki emisji 2014'!D16</f>
        <v>1069.3065600000002</v>
      </c>
      <c r="H9" s="216">
        <v>378.98</v>
      </c>
      <c r="I9" s="217">
        <f>H9*'Wskaźniki emisji 2014'!D16</f>
        <v>307.73176000000001</v>
      </c>
      <c r="J9" s="216">
        <v>0</v>
      </c>
      <c r="K9" s="217">
        <v>0</v>
      </c>
      <c r="L9" s="205" t="e">
        <f>C9+E9+#REF!+I9+K9</f>
        <v>#REF!</v>
      </c>
      <c r="O9" s="200" t="s">
        <v>156</v>
      </c>
      <c r="P9" s="200" t="s">
        <v>157</v>
      </c>
    </row>
    <row r="10" spans="1:19">
      <c r="A10" s="218" t="s">
        <v>10</v>
      </c>
      <c r="B10" s="216">
        <v>0</v>
      </c>
      <c r="C10" s="217">
        <v>0</v>
      </c>
      <c r="D10" s="216">
        <v>458.68</v>
      </c>
      <c r="E10" s="217">
        <f>D10*'Wskaźniki emisji 2014'!D15</f>
        <v>103.203</v>
      </c>
      <c r="F10" s="216">
        <v>3.13</v>
      </c>
      <c r="G10" s="217">
        <f>F10*'Wskaźniki emisji 2014'!D15</f>
        <v>0.70425000000000004</v>
      </c>
      <c r="H10" s="216">
        <v>0</v>
      </c>
      <c r="I10" s="217">
        <v>0</v>
      </c>
      <c r="J10" s="216">
        <f>0+3058.8</f>
        <v>3058.8</v>
      </c>
      <c r="K10" s="217">
        <f>J10*'Wskaźniki emisji 2014'!D15</f>
        <v>688.23</v>
      </c>
      <c r="L10" s="205" t="e">
        <f>C10+E10+#REF!+I10+K10</f>
        <v>#REF!</v>
      </c>
      <c r="N10" s="200" t="s">
        <v>153</v>
      </c>
      <c r="O10" s="200">
        <v>27633.599999999999</v>
      </c>
      <c r="P10" s="206">
        <v>6230.48</v>
      </c>
      <c r="Q10" s="207">
        <f>O10/3.6</f>
        <v>7675.9999999999991</v>
      </c>
      <c r="S10" s="200" t="s">
        <v>159</v>
      </c>
    </row>
    <row r="11" spans="1:19">
      <c r="A11" s="218" t="s">
        <v>6</v>
      </c>
      <c r="B11" s="216">
        <v>0</v>
      </c>
      <c r="C11" s="217">
        <v>0</v>
      </c>
      <c r="D11" s="216">
        <v>0</v>
      </c>
      <c r="E11" s="217">
        <f>D11*'Wskaźniki emisji 2014'!D15</f>
        <v>0</v>
      </c>
      <c r="F11" s="216">
        <v>0</v>
      </c>
      <c r="G11" s="217">
        <v>0</v>
      </c>
      <c r="H11" s="216">
        <v>0</v>
      </c>
      <c r="I11" s="217">
        <v>0</v>
      </c>
      <c r="J11" s="216">
        <f>105.17+5830.86</f>
        <v>5936.03</v>
      </c>
      <c r="K11" s="217">
        <f>J11*'Wskaźniki emisji 2014'!D13</f>
        <v>1567.1119200000001</v>
      </c>
      <c r="L11" s="205" t="e">
        <f>C11+E11+#REF!+I11+K11</f>
        <v>#REF!</v>
      </c>
      <c r="N11" s="200" t="s">
        <v>154</v>
      </c>
      <c r="O11" s="200">
        <v>1762.7</v>
      </c>
      <c r="P11" s="200">
        <v>9320.6</v>
      </c>
      <c r="Q11" s="207">
        <f>O11/3.6</f>
        <v>489.63888888888891</v>
      </c>
      <c r="S11" s="200" t="s">
        <v>158</v>
      </c>
    </row>
    <row r="12" spans="1:19" ht="15" thickBot="1">
      <c r="A12" s="218" t="s">
        <v>25</v>
      </c>
      <c r="B12" s="216">
        <v>0</v>
      </c>
      <c r="C12" s="217">
        <v>0</v>
      </c>
      <c r="D12" s="216">
        <v>0</v>
      </c>
      <c r="E12" s="217">
        <f>D12*'Wskaźniki emisji 2014'!D16</f>
        <v>0</v>
      </c>
      <c r="F12" s="216">
        <v>0</v>
      </c>
      <c r="G12" s="217">
        <v>0</v>
      </c>
      <c r="H12" s="216">
        <v>0</v>
      </c>
      <c r="I12" s="217">
        <v>0</v>
      </c>
      <c r="J12" s="216">
        <f>8.24+8105.78</f>
        <v>8114.0199999999995</v>
      </c>
      <c r="K12" s="217">
        <f>J12*'Wskaźniki emisji 2014'!D14</f>
        <v>2004.1629399999999</v>
      </c>
      <c r="L12" s="205" t="e">
        <f>C12+E12+#REF!+I12+K12</f>
        <v>#REF!</v>
      </c>
      <c r="N12" s="200" t="s">
        <v>155</v>
      </c>
      <c r="O12" s="200">
        <v>624.29999999999995</v>
      </c>
      <c r="P12" s="200">
        <v>4013.15</v>
      </c>
      <c r="Q12" s="207">
        <f>O12/3.6</f>
        <v>173.41666666666666</v>
      </c>
    </row>
    <row r="13" spans="1:19" ht="15" thickBot="1">
      <c r="A13" s="218" t="s">
        <v>0</v>
      </c>
      <c r="B13" s="247">
        <f t="shared" ref="B13:K13" si="0">SUM(B5:B12)</f>
        <v>1965.37</v>
      </c>
      <c r="C13" s="247">
        <f t="shared" si="0"/>
        <v>574.51048000000003</v>
      </c>
      <c r="D13" s="247">
        <f t="shared" si="0"/>
        <v>86755.459999999992</v>
      </c>
      <c r="E13" s="247">
        <f t="shared" si="0"/>
        <v>15460.69291</v>
      </c>
      <c r="F13" s="247">
        <f t="shared" si="0"/>
        <v>3890.34</v>
      </c>
      <c r="G13" s="247">
        <f t="shared" si="0"/>
        <v>1434.4318600000001</v>
      </c>
      <c r="H13" s="247">
        <f t="shared" si="0"/>
        <v>378.98</v>
      </c>
      <c r="I13" s="247">
        <f t="shared" si="0"/>
        <v>307.73176000000001</v>
      </c>
      <c r="J13" s="247">
        <f t="shared" si="0"/>
        <v>17108.849999999999</v>
      </c>
      <c r="K13" s="248">
        <f t="shared" si="0"/>
        <v>4259.50486</v>
      </c>
      <c r="L13" s="205" t="e">
        <f>C13+E13+#REF!+I13+K13</f>
        <v>#REF!</v>
      </c>
      <c r="M13" s="205"/>
      <c r="O13" s="200">
        <f>SUM(O10:O12)</f>
        <v>30020.6</v>
      </c>
      <c r="P13" s="200">
        <f>SUM(P10:P12)</f>
        <v>19564.23</v>
      </c>
      <c r="Q13" s="207">
        <f>SUM(Q10:Q12)</f>
        <v>8339.0555555555547</v>
      </c>
    </row>
    <row r="14" spans="1:19" ht="15" thickBot="1">
      <c r="A14" s="210" t="s">
        <v>152</v>
      </c>
      <c r="B14" s="244"/>
      <c r="C14" s="244"/>
      <c r="D14" s="244"/>
      <c r="E14" s="245"/>
      <c r="F14" s="244"/>
      <c r="G14" s="244"/>
      <c r="H14" s="246"/>
      <c r="I14" s="244"/>
      <c r="J14" s="244"/>
      <c r="K14" s="244"/>
      <c r="L14" s="205" t="e">
        <f>P13-L13</f>
        <v>#REF!</v>
      </c>
      <c r="M14" s="205" t="e">
        <f>L14/'Wskaźniki emisji 2014'!#REF!</f>
        <v>#REF!</v>
      </c>
    </row>
    <row r="15" spans="1:19" ht="15">
      <c r="A15" s="307" t="s">
        <v>24</v>
      </c>
      <c r="B15" s="242" t="s">
        <v>19</v>
      </c>
      <c r="C15" s="243" t="s">
        <v>185</v>
      </c>
      <c r="D15" s="242" t="s">
        <v>19</v>
      </c>
      <c r="E15" s="243" t="s">
        <v>185</v>
      </c>
      <c r="F15" s="242" t="s">
        <v>19</v>
      </c>
      <c r="G15" s="243" t="s">
        <v>185</v>
      </c>
      <c r="H15" s="242" t="s">
        <v>19</v>
      </c>
      <c r="I15" s="243" t="s">
        <v>185</v>
      </c>
      <c r="J15" s="242" t="s">
        <v>19</v>
      </c>
      <c r="K15" s="243" t="s">
        <v>185</v>
      </c>
      <c r="L15" s="205"/>
      <c r="M15" s="205" t="e">
        <f>#REF!/(D5+#REF!)</f>
        <v>#REF!</v>
      </c>
    </row>
    <row r="16" spans="1:19">
      <c r="A16" s="307"/>
      <c r="B16" s="213" t="s">
        <v>21</v>
      </c>
      <c r="C16" s="214" t="s">
        <v>20</v>
      </c>
      <c r="D16" s="213" t="s">
        <v>21</v>
      </c>
      <c r="E16" s="214" t="s">
        <v>20</v>
      </c>
      <c r="F16" s="213" t="s">
        <v>21</v>
      </c>
      <c r="G16" s="214" t="s">
        <v>20</v>
      </c>
      <c r="H16" s="213" t="s">
        <v>21</v>
      </c>
      <c r="I16" s="214" t="s">
        <v>20</v>
      </c>
      <c r="J16" s="213" t="s">
        <v>21</v>
      </c>
      <c r="K16" s="214" t="s">
        <v>20</v>
      </c>
      <c r="L16" s="205"/>
      <c r="M16" s="205"/>
      <c r="O16" s="200">
        <f>O10/3.6</f>
        <v>7675.9999999999991</v>
      </c>
      <c r="P16" s="200">
        <f>0.04</f>
        <v>0.04</v>
      </c>
      <c r="Q16" s="200">
        <f>P16*4013.15</f>
        <v>160.52600000000001</v>
      </c>
      <c r="R16" s="200" t="e">
        <f>Q16/'Wskaźniki emisji 2014'!#REF!</f>
        <v>#REF!</v>
      </c>
    </row>
    <row r="17" spans="1:18">
      <c r="A17" s="215" t="s">
        <v>5</v>
      </c>
      <c r="B17" s="216">
        <v>0</v>
      </c>
      <c r="C17" s="217">
        <f>B17*'Wskaźniki emisji 2020'!D9</f>
        <v>0</v>
      </c>
      <c r="D17" s="216">
        <f>('BAZA MAŁOPOLSKA EMISJI'!F54+'BAZA MAŁOPOLSKA EMISJI'!F56)*'Prognozy ogólne'!G59/'BAZA MAŁOPOLSKA EMISJI'!F4</f>
        <v>19791.463115110018</v>
      </c>
      <c r="E17" s="217">
        <f>D17*'Wskaźniki emisji 2020'!D9</f>
        <v>6610.3486804467466</v>
      </c>
      <c r="F17" s="216">
        <f>8343/7842*F5</f>
        <v>677.85545141545526</v>
      </c>
      <c r="G17" s="217">
        <f>F17*'Wskaźniki emisji 2020'!D9</f>
        <v>226.40372077276206</v>
      </c>
      <c r="H17" s="216">
        <v>0</v>
      </c>
      <c r="I17" s="217">
        <v>0</v>
      </c>
      <c r="J17" s="216">
        <v>0</v>
      </c>
      <c r="K17" s="217">
        <v>0</v>
      </c>
      <c r="L17" s="205"/>
      <c r="M17" s="205"/>
      <c r="O17" s="200">
        <f>O11/3.6</f>
        <v>489.63888888888891</v>
      </c>
      <c r="P17" s="200">
        <v>0.5</v>
      </c>
      <c r="Q17" s="200">
        <f>P17*4013.15</f>
        <v>2006.575</v>
      </c>
      <c r="R17" s="200" t="e">
        <f>Q17/'Wskaźniki emisji 2014'!#REF!</f>
        <v>#REF!</v>
      </c>
    </row>
    <row r="18" spans="1:18">
      <c r="A18" s="218" t="s">
        <v>9</v>
      </c>
      <c r="B18" s="216">
        <v>2391.723</v>
      </c>
      <c r="C18" s="217">
        <f>B18*'Wskaźniki emisji 2020'!D10</f>
        <v>480.73632300000003</v>
      </c>
      <c r="D18" s="216">
        <v>7142.3</v>
      </c>
      <c r="E18" s="217">
        <f>D18*'Wskaźniki emisji 2020'!D10</f>
        <v>1435.6023</v>
      </c>
      <c r="F18" s="216">
        <f>113.1+1637.6+9.1</f>
        <v>1759.7999999999997</v>
      </c>
      <c r="G18" s="217">
        <f>F18*'Wskaźniki emisji 2020'!D10</f>
        <v>353.71979999999996</v>
      </c>
      <c r="H18" s="216">
        <v>0</v>
      </c>
      <c r="I18" s="217">
        <v>0</v>
      </c>
      <c r="J18" s="216">
        <v>0</v>
      </c>
      <c r="K18" s="217">
        <v>0</v>
      </c>
      <c r="L18" s="205"/>
      <c r="M18" s="205"/>
      <c r="O18" s="200">
        <f>O12/3.6</f>
        <v>173.41666666666666</v>
      </c>
      <c r="P18" s="200">
        <v>0.46</v>
      </c>
      <c r="Q18" s="200">
        <f>P18*4013.15</f>
        <v>1846.0490000000002</v>
      </c>
      <c r="R18" s="200" t="e">
        <f>Q18/'Wskaźniki emisji 2014'!#REF!</f>
        <v>#REF!</v>
      </c>
    </row>
    <row r="19" spans="1:18">
      <c r="A19" s="218" t="s">
        <v>8</v>
      </c>
      <c r="B19" s="216">
        <v>0</v>
      </c>
      <c r="C19" s="217">
        <f>B19*'Wskaźniki emisji 2020'!D11</f>
        <v>0</v>
      </c>
      <c r="D19" s="216">
        <v>0</v>
      </c>
      <c r="E19" s="217">
        <f>D19*'Wskaźniki emisji 2020'!D11</f>
        <v>0</v>
      </c>
      <c r="F19" s="216">
        <v>0</v>
      </c>
      <c r="G19" s="217">
        <f>F19*'Wskaźniki emisji 2020'!D11</f>
        <v>0</v>
      </c>
      <c r="H19" s="216">
        <v>0</v>
      </c>
      <c r="I19" s="217">
        <v>0</v>
      </c>
      <c r="J19" s="216">
        <v>0</v>
      </c>
      <c r="K19" s="217">
        <v>0</v>
      </c>
      <c r="L19" s="205"/>
      <c r="M19" s="205"/>
      <c r="Q19" s="200">
        <f>SUM(Q16:Q18)</f>
        <v>4013.1500000000005</v>
      </c>
      <c r="R19" s="200" t="e">
        <f>SUM(R16:R18)</f>
        <v>#REF!</v>
      </c>
    </row>
    <row r="20" spans="1:18">
      <c r="A20" s="218" t="str">
        <f>A8</f>
        <v>OZE,  w tym biomasa</v>
      </c>
      <c r="B20" s="216">
        <v>13</v>
      </c>
      <c r="C20" s="217">
        <f>B20*'Wskaźniki emisji 2020'!D12</f>
        <v>0</v>
      </c>
      <c r="D20" s="216">
        <f>('BAZA MAŁOPOLSKA EMISJI'!F55+'BAZA MAŁOPOLSKA EMISJI'!F57)*'Prognozy ogólne'!G59/'BAZA MAŁOPOLSKA EMISJI'!F4</f>
        <v>60154.375617977523</v>
      </c>
      <c r="E20" s="217">
        <f>D20*'Wskaźniki emisji 2020'!D12</f>
        <v>0</v>
      </c>
      <c r="F20" s="216">
        <f>F8*270/116</f>
        <v>2754.0698275862069</v>
      </c>
      <c r="G20" s="217">
        <f>F20*'Wskaźniki emisji 2020'!D12</f>
        <v>0</v>
      </c>
      <c r="H20" s="216">
        <v>0</v>
      </c>
      <c r="I20" s="217">
        <v>0</v>
      </c>
      <c r="J20" s="216">
        <v>0</v>
      </c>
      <c r="K20" s="217">
        <v>0</v>
      </c>
      <c r="L20" s="205"/>
      <c r="M20" s="205"/>
    </row>
    <row r="21" spans="1:18">
      <c r="A21" s="218" t="s">
        <v>14</v>
      </c>
      <c r="B21" s="216">
        <v>942.45600000000002</v>
      </c>
      <c r="C21" s="217">
        <f>B21*'Wskaźniki emisji 2020'!D16</f>
        <v>765.27427200000011</v>
      </c>
      <c r="D21" s="216">
        <f>D9*12152/10990</f>
        <v>8375.9014522292982</v>
      </c>
      <c r="E21" s="217">
        <f>D21*'Wskaźniki emisji 2020'!D16</f>
        <v>6801.2319792101907</v>
      </c>
      <c r="F21" s="216">
        <f>F9*12152/10990</f>
        <v>1456.1169936305735</v>
      </c>
      <c r="G21" s="217">
        <f>F21*'Wskaźniki emisji 2020'!D16</f>
        <v>1182.3669988280258</v>
      </c>
      <c r="H21" s="216">
        <v>158.61000000000001</v>
      </c>
      <c r="I21" s="217">
        <f>H21*'Wskaźniki emisji 2020'!D16</f>
        <v>128.79132000000001</v>
      </c>
      <c r="J21" s="216">
        <v>0</v>
      </c>
      <c r="K21" s="217">
        <v>0</v>
      </c>
      <c r="L21" s="205"/>
      <c r="M21" s="205"/>
    </row>
    <row r="22" spans="1:18">
      <c r="A22" s="218" t="s">
        <v>10</v>
      </c>
      <c r="B22" s="216">
        <v>0</v>
      </c>
      <c r="C22" s="217">
        <v>0</v>
      </c>
      <c r="D22" s="216">
        <v>0</v>
      </c>
      <c r="E22" s="217">
        <v>0</v>
      </c>
      <c r="F22" s="216">
        <v>0</v>
      </c>
      <c r="G22" s="217">
        <f>F22*'Wskaźniki emisji 2020'!E15</f>
        <v>0</v>
      </c>
      <c r="H22" s="216">
        <v>0</v>
      </c>
      <c r="I22" s="217">
        <v>0</v>
      </c>
      <c r="J22" s="216">
        <f>J10*10118/8985</f>
        <v>3444.5117863105179</v>
      </c>
      <c r="K22" s="217">
        <f>J22*'Wskaźniki emisji 2020'!D14</f>
        <v>850.79441121869786</v>
      </c>
      <c r="L22" s="205"/>
      <c r="M22" s="205"/>
    </row>
    <row r="23" spans="1:18">
      <c r="A23" s="218" t="s">
        <v>6</v>
      </c>
      <c r="B23" s="216">
        <v>0</v>
      </c>
      <c r="C23" s="217">
        <v>0</v>
      </c>
      <c r="D23" s="216">
        <v>0</v>
      </c>
      <c r="E23" s="217">
        <v>0</v>
      </c>
      <c r="F23" s="216">
        <v>0</v>
      </c>
      <c r="G23" s="217">
        <v>0</v>
      </c>
      <c r="H23" s="216">
        <v>0</v>
      </c>
      <c r="I23" s="217">
        <v>0</v>
      </c>
      <c r="J23" s="216">
        <f t="shared" ref="J23:J24" si="1">J11*10118/8985</f>
        <v>6684.5577673900943</v>
      </c>
      <c r="K23" s="217">
        <f>J23*'Wskaźniki emisji 2020'!D13</f>
        <v>1764.7232505909849</v>
      </c>
      <c r="L23" s="205"/>
      <c r="M23" s="205"/>
    </row>
    <row r="24" spans="1:18" ht="15" thickBot="1">
      <c r="A24" s="218" t="s">
        <v>25</v>
      </c>
      <c r="B24" s="216">
        <v>0</v>
      </c>
      <c r="C24" s="217">
        <v>0</v>
      </c>
      <c r="D24" s="216">
        <v>0</v>
      </c>
      <c r="E24" s="217">
        <v>0</v>
      </c>
      <c r="F24" s="216">
        <v>0</v>
      </c>
      <c r="G24" s="217">
        <v>0</v>
      </c>
      <c r="H24" s="216">
        <v>0</v>
      </c>
      <c r="I24" s="217">
        <v>0</v>
      </c>
      <c r="J24" s="216">
        <f t="shared" si="1"/>
        <v>9137.1902459654975</v>
      </c>
      <c r="K24" s="217">
        <f>J24*'Wskaźniki emisji 2020'!D14</f>
        <v>2256.8859907534779</v>
      </c>
      <c r="L24" s="205"/>
      <c r="M24" s="205"/>
    </row>
    <row r="25" spans="1:18" ht="15" thickBot="1">
      <c r="A25" s="218" t="s">
        <v>0</v>
      </c>
      <c r="B25" s="247">
        <f t="shared" ref="B25:K25" si="2">SUM(B17:B24)</f>
        <v>3347.1790000000001</v>
      </c>
      <c r="C25" s="249">
        <f t="shared" si="2"/>
        <v>1246.0105950000002</v>
      </c>
      <c r="D25" s="247">
        <f t="shared" si="2"/>
        <v>95464.040185316844</v>
      </c>
      <c r="E25" s="249">
        <f t="shared" si="2"/>
        <v>14847.182959656937</v>
      </c>
      <c r="F25" s="247">
        <f t="shared" si="2"/>
        <v>6647.8422726322351</v>
      </c>
      <c r="G25" s="249">
        <f t="shared" si="2"/>
        <v>1762.4905196007878</v>
      </c>
      <c r="H25" s="247">
        <f t="shared" si="2"/>
        <v>158.61000000000001</v>
      </c>
      <c r="I25" s="249">
        <f t="shared" si="2"/>
        <v>128.79132000000001</v>
      </c>
      <c r="J25" s="247">
        <f t="shared" si="2"/>
        <v>19266.25979966611</v>
      </c>
      <c r="K25" s="249">
        <f t="shared" si="2"/>
        <v>4872.4036525631609</v>
      </c>
      <c r="L25" s="205" t="e">
        <f>C25+E25+#REF!+I25+K25</f>
        <v>#REF!</v>
      </c>
      <c r="M25" s="205"/>
    </row>
    <row r="26" spans="1:18">
      <c r="A26" s="200"/>
      <c r="B26" s="201"/>
      <c r="C26" s="201"/>
      <c r="D26" s="202"/>
      <c r="E26" s="202"/>
      <c r="F26" s="200"/>
      <c r="G26" s="200"/>
      <c r="H26" s="200"/>
      <c r="I26" s="200"/>
      <c r="J26" s="200"/>
      <c r="K26" s="200"/>
    </row>
    <row r="27" spans="1:18">
      <c r="A27" s="200" t="s">
        <v>166</v>
      </c>
      <c r="B27" s="200">
        <v>13</v>
      </c>
      <c r="C27" s="200">
        <f>0.295297*1000000</f>
        <v>295297</v>
      </c>
      <c r="D27" s="203">
        <f>C27*11/1000</f>
        <v>3248.2669999999998</v>
      </c>
      <c r="E27" s="200"/>
      <c r="F27" s="220"/>
      <c r="G27" s="220"/>
      <c r="H27" s="204" t="e">
        <f>#REF!*1086</f>
        <v>#REF!</v>
      </c>
      <c r="I27" s="204" t="e">
        <f>H27*C27/B27</f>
        <v>#REF!</v>
      </c>
      <c r="J27" s="207" t="e">
        <f>I27*11/1000</f>
        <v>#REF!</v>
      </c>
      <c r="K27" s="200"/>
    </row>
    <row r="28" spans="1:18">
      <c r="A28" s="200" t="s">
        <v>167</v>
      </c>
      <c r="B28" s="200">
        <v>7</v>
      </c>
      <c r="C28" s="200">
        <v>140.21</v>
      </c>
      <c r="D28" s="205"/>
      <c r="E28" s="200">
        <v>8170</v>
      </c>
      <c r="F28" s="220"/>
      <c r="G28" s="220"/>
      <c r="H28" s="204" t="e">
        <f>#REF!*1086</f>
        <v>#REF!</v>
      </c>
      <c r="I28" s="204" t="e">
        <f>H28*C28/B28</f>
        <v>#REF!</v>
      </c>
      <c r="J28" s="207" t="e">
        <f>I28*7.4</f>
        <v>#REF!</v>
      </c>
      <c r="K28" s="200"/>
    </row>
    <row r="29" spans="1:18">
      <c r="A29" s="219" t="s">
        <v>168</v>
      </c>
      <c r="B29" s="200">
        <v>1</v>
      </c>
      <c r="C29" s="200">
        <v>1003.2</v>
      </c>
      <c r="D29" s="200"/>
      <c r="E29" s="200"/>
      <c r="F29" s="220"/>
      <c r="G29" s="220"/>
      <c r="H29" s="204" t="e">
        <f>#REF!*1086</f>
        <v>#REF!</v>
      </c>
      <c r="I29" s="204" t="e">
        <f>H29*C29/B29</f>
        <v>#REF!</v>
      </c>
      <c r="J29" s="207" t="e">
        <f>I29*11.2</f>
        <v>#REF!</v>
      </c>
    </row>
    <row r="30" spans="1:18">
      <c r="A30" s="219" t="s">
        <v>169</v>
      </c>
      <c r="B30" s="200">
        <v>2</v>
      </c>
      <c r="C30" s="200">
        <v>28</v>
      </c>
      <c r="D30" s="200"/>
      <c r="E30" s="200"/>
      <c r="F30" s="220"/>
      <c r="G30" s="220"/>
      <c r="H30" s="204" t="e">
        <f>#REF!*1086</f>
        <v>#REF!</v>
      </c>
      <c r="I30" s="204" t="e">
        <f>H30*C30/B30</f>
        <v>#REF!</v>
      </c>
      <c r="J30" s="207" t="e">
        <f>5.8*I30</f>
        <v>#REF!</v>
      </c>
    </row>
    <row r="31" spans="1:18">
      <c r="B31" s="200">
        <f>SUM(B27:B30)</f>
        <v>23</v>
      </c>
      <c r="C31" s="200"/>
      <c r="D31" s="200"/>
      <c r="E31" s="200"/>
      <c r="F31" s="220"/>
      <c r="G31" s="220"/>
      <c r="H31" s="204" t="e">
        <f>#REF!*1086</f>
        <v>#REF!</v>
      </c>
      <c r="I31" s="204" t="e">
        <f>H31*C31/B31</f>
        <v>#REF!</v>
      </c>
      <c r="J31" s="200"/>
    </row>
  </sheetData>
  <mergeCells count="7">
    <mergeCell ref="A15:A16"/>
    <mergeCell ref="J1:K1"/>
    <mergeCell ref="A3:A4"/>
    <mergeCell ref="B1:C1"/>
    <mergeCell ref="D1:E1"/>
    <mergeCell ref="H1:I1"/>
    <mergeCell ref="F1:G1"/>
  </mergeCells>
  <pageMargins left="0.70866141732283472" right="0.70866141732283472" top="0.74803149606299213" bottom="0.74803149606299213" header="0.31496062992125984" footer="0.31496062992125984"/>
  <pageSetup paperSize="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E14" activeCellId="1" sqref="A14:A18 E14:E18"/>
    </sheetView>
  </sheetViews>
  <sheetFormatPr defaultRowHeight="14.5"/>
  <sheetData>
    <row r="1" spans="1:5" ht="15" thickBot="1">
      <c r="B1" s="96" t="s">
        <v>27</v>
      </c>
      <c r="C1" s="96" t="s">
        <v>93</v>
      </c>
      <c r="D1" s="96" t="s">
        <v>94</v>
      </c>
    </row>
    <row r="2" spans="1:5">
      <c r="A2" s="53" t="s">
        <v>147</v>
      </c>
      <c r="B2" s="84"/>
      <c r="C2" s="88"/>
      <c r="D2" s="88"/>
    </row>
    <row r="3" spans="1:5">
      <c r="A3" s="310" t="s">
        <v>24</v>
      </c>
      <c r="B3" s="85" t="s">
        <v>19</v>
      </c>
      <c r="C3" s="85" t="s">
        <v>19</v>
      </c>
      <c r="D3" s="85" t="s">
        <v>19</v>
      </c>
    </row>
    <row r="4" spans="1:5">
      <c r="A4" s="310"/>
      <c r="B4" s="85" t="s">
        <v>21</v>
      </c>
      <c r="C4" s="85" t="s">
        <v>21</v>
      </c>
      <c r="D4" s="85" t="s">
        <v>21</v>
      </c>
    </row>
    <row r="5" spans="1:5" ht="15" thickBot="1">
      <c r="A5" s="82" t="s">
        <v>5</v>
      </c>
      <c r="B5" s="86">
        <v>1208.0999999999999</v>
      </c>
      <c r="C5" s="86">
        <v>30127.86</v>
      </c>
      <c r="D5" s="86">
        <v>909.01</v>
      </c>
      <c r="E5" s="52">
        <f t="shared" ref="E5:E10" si="0">SUM(B5:D5)</f>
        <v>32244.969999999998</v>
      </c>
    </row>
    <row r="6" spans="1:5" ht="15" thickBot="1">
      <c r="A6" s="83" t="s">
        <v>9</v>
      </c>
      <c r="B6" s="86">
        <v>0</v>
      </c>
      <c r="C6" s="86">
        <v>553.36</v>
      </c>
      <c r="D6" s="86">
        <v>374.13</v>
      </c>
      <c r="E6" s="52">
        <f t="shared" si="0"/>
        <v>927.49</v>
      </c>
    </row>
    <row r="7" spans="1:5" ht="15" thickBot="1">
      <c r="A7" s="83" t="s">
        <v>8</v>
      </c>
      <c r="B7" s="86">
        <v>47.15</v>
      </c>
      <c r="C7" s="86">
        <v>778.84</v>
      </c>
      <c r="D7" s="86">
        <v>425.26</v>
      </c>
      <c r="E7" s="52">
        <f t="shared" si="0"/>
        <v>1251.25</v>
      </c>
    </row>
    <row r="8" spans="1:5" ht="15" thickBot="1">
      <c r="A8" s="83" t="s">
        <v>58</v>
      </c>
      <c r="B8" s="86">
        <v>0</v>
      </c>
      <c r="C8" s="86">
        <v>3377.56</v>
      </c>
      <c r="D8" s="86">
        <v>79.45</v>
      </c>
      <c r="E8" s="52">
        <f t="shared" si="0"/>
        <v>3457.0099999999998</v>
      </c>
    </row>
    <row r="9" spans="1:5" ht="15" thickBot="1">
      <c r="A9" s="83" t="s">
        <v>95</v>
      </c>
      <c r="B9" s="86">
        <v>4.17</v>
      </c>
      <c r="C9" s="86">
        <v>277.77999999999997</v>
      </c>
      <c r="D9" s="86">
        <v>87.67</v>
      </c>
      <c r="E9" s="52">
        <f t="shared" si="0"/>
        <v>369.62</v>
      </c>
    </row>
    <row r="10" spans="1:5" ht="15" thickBot="1">
      <c r="A10" s="83" t="s">
        <v>0</v>
      </c>
      <c r="B10" s="87">
        <f>SUM(B5:B9)</f>
        <v>1259.42</v>
      </c>
      <c r="C10" s="87">
        <f>SUM(C5:C9)</f>
        <v>35115.4</v>
      </c>
      <c r="D10" s="87">
        <f>SUM(D5:D9)</f>
        <v>1875.52</v>
      </c>
      <c r="E10" s="52">
        <f t="shared" si="0"/>
        <v>38250.339999999997</v>
      </c>
    </row>
    <row r="11" spans="1:5" ht="15" thickBot="1">
      <c r="A11" s="53" t="s">
        <v>92</v>
      </c>
      <c r="B11" s="54"/>
      <c r="C11" s="54"/>
      <c r="D11" s="54"/>
    </row>
    <row r="12" spans="1:5">
      <c r="A12" s="310" t="s">
        <v>24</v>
      </c>
      <c r="B12" s="89" t="s">
        <v>19</v>
      </c>
      <c r="C12" s="89" t="s">
        <v>19</v>
      </c>
      <c r="D12" s="89" t="s">
        <v>19</v>
      </c>
    </row>
    <row r="13" spans="1:5">
      <c r="A13" s="310"/>
      <c r="B13" s="85" t="s">
        <v>21</v>
      </c>
      <c r="C13" s="85" t="s">
        <v>21</v>
      </c>
      <c r="D13" s="85" t="s">
        <v>21</v>
      </c>
    </row>
    <row r="14" spans="1:5">
      <c r="A14" s="82" t="s">
        <v>5</v>
      </c>
      <c r="B14" s="90">
        <v>956.71484492622699</v>
      </c>
      <c r="C14" s="90">
        <v>31620.4945799458</v>
      </c>
      <c r="D14" s="90">
        <v>11644.395513399579</v>
      </c>
      <c r="E14" s="52">
        <f t="shared" ref="E14:E19" si="1">SUM(B14:D14)</f>
        <v>44221.604938271608</v>
      </c>
    </row>
    <row r="15" spans="1:5">
      <c r="A15" s="83" t="s">
        <v>9</v>
      </c>
      <c r="B15" s="90">
        <v>18.413598814822436</v>
      </c>
      <c r="C15" s="90">
        <v>1492.2285078102573</v>
      </c>
      <c r="D15" s="90">
        <v>526.40199337492061</v>
      </c>
      <c r="E15" s="52">
        <f t="shared" si="1"/>
        <v>2037.0441000000005</v>
      </c>
    </row>
    <row r="16" spans="1:5">
      <c r="A16" s="83" t="s">
        <v>8</v>
      </c>
      <c r="B16" s="90">
        <v>71.481481481481495</v>
      </c>
      <c r="C16" s="90">
        <v>0</v>
      </c>
      <c r="D16" s="90">
        <v>0</v>
      </c>
      <c r="E16" s="52">
        <f t="shared" si="1"/>
        <v>71.481481481481495</v>
      </c>
    </row>
    <row r="17" spans="1:6">
      <c r="A17" s="83" t="str">
        <f>A8</f>
        <v>Drewno opałowe</v>
      </c>
      <c r="B17" s="90">
        <v>0</v>
      </c>
      <c r="C17" s="90">
        <v>3190.3703703703704</v>
      </c>
      <c r="D17" s="90">
        <v>3463.7037037037039</v>
      </c>
      <c r="E17" s="52">
        <f t="shared" si="1"/>
        <v>6654.0740740740748</v>
      </c>
    </row>
    <row r="18" spans="1:6">
      <c r="A18" s="83" t="s">
        <v>95</v>
      </c>
      <c r="B18" s="90">
        <v>48.913043478260867</v>
      </c>
      <c r="C18" s="90">
        <v>2436.9565217391305</v>
      </c>
      <c r="D18" s="90">
        <v>197.46376811594203</v>
      </c>
      <c r="E18" s="52">
        <f t="shared" si="1"/>
        <v>2683.3333333333335</v>
      </c>
    </row>
    <row r="19" spans="1:6" ht="15" thickBot="1">
      <c r="A19" s="83" t="s">
        <v>0</v>
      </c>
      <c r="B19" s="91">
        <f>SUM(B14:B18)</f>
        <v>1095.5229687007916</v>
      </c>
      <c r="C19" s="91">
        <f>SUM(C14:C18)</f>
        <v>38740.049979865558</v>
      </c>
      <c r="D19" s="91">
        <f>SUM(D14:D18)</f>
        <v>15831.964978594146</v>
      </c>
      <c r="E19" s="52">
        <f t="shared" si="1"/>
        <v>55667.537927160491</v>
      </c>
      <c r="F19">
        <f>D19/E19</f>
        <v>0.28440210521453013</v>
      </c>
    </row>
  </sheetData>
  <mergeCells count="2">
    <mergeCell ref="A3:A4"/>
    <mergeCell ref="A12:A1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view="pageBreakPreview" zoomScale="60" zoomScaleNormal="80" workbookViewId="0">
      <selection activeCell="H20" sqref="H20"/>
    </sheetView>
  </sheetViews>
  <sheetFormatPr defaultRowHeight="14.5"/>
  <cols>
    <col min="1" max="1" width="2.81640625" customWidth="1"/>
    <col min="2" max="2" width="76.08984375" customWidth="1"/>
    <col min="3" max="3" width="14.90625" style="221" customWidth="1"/>
    <col min="4" max="4" width="16.90625" customWidth="1"/>
    <col min="5" max="5" width="13.81640625" customWidth="1"/>
    <col min="6" max="6" width="16.36328125" customWidth="1"/>
    <col min="7" max="7" width="11.08984375" customWidth="1"/>
    <col min="8" max="8" width="37.36328125" customWidth="1"/>
    <col min="9" max="9" width="11.453125" bestFit="1" customWidth="1"/>
    <col min="10" max="10" width="9.7265625" bestFit="1" customWidth="1"/>
  </cols>
  <sheetData>
    <row r="1" spans="1:8" ht="72.5">
      <c r="A1" s="224"/>
      <c r="B1" s="224" t="s">
        <v>174</v>
      </c>
      <c r="C1" s="225" t="s">
        <v>139</v>
      </c>
      <c r="D1" s="226" t="s">
        <v>184</v>
      </c>
      <c r="E1" s="226" t="s">
        <v>230</v>
      </c>
      <c r="F1" s="226" t="s">
        <v>229</v>
      </c>
      <c r="G1" s="226" t="s">
        <v>183</v>
      </c>
      <c r="H1" s="226" t="s">
        <v>319</v>
      </c>
    </row>
    <row r="2" spans="1:8">
      <c r="A2" s="224"/>
      <c r="B2" s="258" t="s">
        <v>216</v>
      </c>
      <c r="C2" s="259"/>
      <c r="D2" s="260"/>
      <c r="E2" s="260"/>
      <c r="F2" s="260"/>
      <c r="G2" s="260"/>
      <c r="H2" s="260"/>
    </row>
    <row r="3" spans="1:8" ht="29">
      <c r="A3" s="227">
        <v>1</v>
      </c>
      <c r="B3" s="255" t="s">
        <v>212</v>
      </c>
      <c r="C3" s="223">
        <v>2016</v>
      </c>
      <c r="D3" s="262" t="s">
        <v>311</v>
      </c>
      <c r="E3" s="239">
        <f>'ZADANIA ZREALIZOWANE DO 2020'!B8</f>
        <v>1000.2537</v>
      </c>
      <c r="F3" s="239"/>
      <c r="G3" s="235">
        <f>'ZADANIA ZREALIZOWANE DO 2020'!D8</f>
        <v>120.18408075000001</v>
      </c>
      <c r="H3" s="235" t="s">
        <v>15</v>
      </c>
    </row>
    <row r="4" spans="1:8" ht="14" customHeight="1">
      <c r="A4" s="227">
        <v>2</v>
      </c>
      <c r="B4" s="238" t="s">
        <v>213</v>
      </c>
      <c r="C4" s="223">
        <v>2017</v>
      </c>
      <c r="D4" s="262" t="s">
        <v>317</v>
      </c>
      <c r="E4" s="256" t="s">
        <v>15</v>
      </c>
      <c r="F4" s="256" t="s">
        <v>15</v>
      </c>
      <c r="G4" s="263" t="s">
        <v>15</v>
      </c>
      <c r="H4" s="263" t="s">
        <v>318</v>
      </c>
    </row>
    <row r="5" spans="1:8" ht="14" customHeight="1">
      <c r="A5" s="227">
        <v>3</v>
      </c>
      <c r="B5" s="238" t="s">
        <v>220</v>
      </c>
      <c r="C5" s="257" t="s">
        <v>221</v>
      </c>
      <c r="D5" s="262" t="s">
        <v>311</v>
      </c>
      <c r="E5" s="256" t="s">
        <v>15</v>
      </c>
      <c r="F5" s="256" t="s">
        <v>15</v>
      </c>
      <c r="G5" s="263" t="s">
        <v>15</v>
      </c>
      <c r="H5" s="236"/>
    </row>
    <row r="6" spans="1:8" ht="14" customHeight="1">
      <c r="A6" s="227">
        <v>4</v>
      </c>
      <c r="B6" s="238" t="s">
        <v>222</v>
      </c>
      <c r="C6" s="257" t="s">
        <v>223</v>
      </c>
      <c r="D6" s="262" t="s">
        <v>311</v>
      </c>
      <c r="E6" s="256" t="s">
        <v>15</v>
      </c>
      <c r="F6" s="256" t="s">
        <v>15</v>
      </c>
      <c r="G6" s="263" t="s">
        <v>15</v>
      </c>
      <c r="H6" s="236"/>
    </row>
    <row r="7" spans="1:8" ht="14" customHeight="1">
      <c r="A7" s="227">
        <v>5</v>
      </c>
      <c r="B7" s="255" t="s">
        <v>224</v>
      </c>
      <c r="C7" s="257" t="s">
        <v>221</v>
      </c>
      <c r="D7" s="262" t="s">
        <v>175</v>
      </c>
      <c r="E7" s="256" t="s">
        <v>15</v>
      </c>
      <c r="F7" s="256" t="s">
        <v>15</v>
      </c>
      <c r="G7" s="263" t="s">
        <v>15</v>
      </c>
      <c r="H7" s="263" t="s">
        <v>320</v>
      </c>
    </row>
    <row r="8" spans="1:8" ht="14" customHeight="1">
      <c r="A8" s="227">
        <v>6</v>
      </c>
      <c r="B8" s="255" t="s">
        <v>225</v>
      </c>
      <c r="C8" s="257" t="s">
        <v>223</v>
      </c>
      <c r="D8" s="262" t="s">
        <v>175</v>
      </c>
      <c r="E8" s="256" t="s">
        <v>15</v>
      </c>
      <c r="F8" s="256" t="s">
        <v>15</v>
      </c>
      <c r="G8" s="263" t="s">
        <v>15</v>
      </c>
      <c r="H8" s="263" t="s">
        <v>320</v>
      </c>
    </row>
    <row r="9" spans="1:8" ht="14" customHeight="1">
      <c r="A9" s="227">
        <v>7</v>
      </c>
      <c r="B9" s="255" t="s">
        <v>227</v>
      </c>
      <c r="C9" s="257" t="s">
        <v>223</v>
      </c>
      <c r="D9" s="262" t="s">
        <v>175</v>
      </c>
      <c r="E9" s="256" t="s">
        <v>15</v>
      </c>
      <c r="F9" s="256" t="s">
        <v>15</v>
      </c>
      <c r="G9" s="263" t="s">
        <v>15</v>
      </c>
      <c r="H9" s="263" t="s">
        <v>320</v>
      </c>
    </row>
    <row r="10" spans="1:8" ht="14" customHeight="1">
      <c r="A10" s="227">
        <v>8</v>
      </c>
      <c r="B10" s="255" t="s">
        <v>228</v>
      </c>
      <c r="C10" s="257" t="s">
        <v>223</v>
      </c>
      <c r="D10" s="262" t="s">
        <v>311</v>
      </c>
      <c r="E10" s="256" t="s">
        <v>15</v>
      </c>
      <c r="F10" s="256" t="s">
        <v>15</v>
      </c>
      <c r="G10" s="263" t="s">
        <v>15</v>
      </c>
      <c r="H10" s="236"/>
    </row>
    <row r="11" spans="1:8">
      <c r="A11" s="227"/>
      <c r="B11" s="261" t="s">
        <v>226</v>
      </c>
      <c r="C11" s="223"/>
      <c r="D11" s="239"/>
      <c r="E11" s="239"/>
      <c r="F11" s="239"/>
      <c r="G11" s="236"/>
      <c r="H11" s="240" t="s">
        <v>15</v>
      </c>
    </row>
    <row r="12" spans="1:8" ht="29">
      <c r="A12" s="227">
        <v>9</v>
      </c>
      <c r="B12" s="222" t="s">
        <v>214</v>
      </c>
      <c r="C12" s="257" t="s">
        <v>215</v>
      </c>
      <c r="D12" s="262" t="s">
        <v>311</v>
      </c>
      <c r="E12" s="239">
        <v>720</v>
      </c>
      <c r="F12" s="262" t="s">
        <v>15</v>
      </c>
      <c r="G12" s="236">
        <v>244</v>
      </c>
      <c r="H12" s="240" t="s">
        <v>15</v>
      </c>
    </row>
    <row r="13" spans="1:8" ht="29">
      <c r="A13" s="227">
        <v>10</v>
      </c>
      <c r="B13" s="238" t="s">
        <v>217</v>
      </c>
      <c r="C13" s="257" t="s">
        <v>215</v>
      </c>
      <c r="D13" s="262" t="s">
        <v>311</v>
      </c>
      <c r="E13" s="266">
        <f>F13</f>
        <v>12813.825445563733</v>
      </c>
      <c r="F13" s="266">
        <f>'SEKTORY I ŹRÓDŁA EMISJI '!D20+'SEKTORY I ŹRÓDŁA EMISJI '!F20-'SEKTORY I ŹRÓDŁA EMISJI '!D8-'SEKTORY I ŹRÓDŁA EMISJI '!F8</f>
        <v>12813.825445563733</v>
      </c>
      <c r="G13" s="240">
        <f>F13*'Wskaźniki emisji 2020'!D9</f>
        <v>4279.8176988182868</v>
      </c>
      <c r="H13" s="240" t="s">
        <v>15</v>
      </c>
    </row>
    <row r="14" spans="1:8" ht="13.5" customHeight="1">
      <c r="A14" s="227"/>
      <c r="B14" s="261" t="s">
        <v>218</v>
      </c>
      <c r="C14" s="223"/>
      <c r="D14" s="239"/>
      <c r="E14" s="262" t="s">
        <v>15</v>
      </c>
      <c r="F14" s="262"/>
      <c r="G14" s="263" t="s">
        <v>15</v>
      </c>
      <c r="H14" s="236" t="s">
        <v>15</v>
      </c>
    </row>
    <row r="15" spans="1:8" ht="15" thickBot="1">
      <c r="A15" s="227">
        <v>11</v>
      </c>
      <c r="B15" s="238" t="s">
        <v>219</v>
      </c>
      <c r="C15" s="241">
        <v>2016</v>
      </c>
      <c r="D15" s="262" t="s">
        <v>311</v>
      </c>
      <c r="E15" s="262" t="s">
        <v>15</v>
      </c>
      <c r="F15" s="262"/>
      <c r="G15" s="263" t="s">
        <v>15</v>
      </c>
      <c r="H15" s="236" t="s">
        <v>15</v>
      </c>
    </row>
    <row r="16" spans="1:8" ht="15" thickBot="1">
      <c r="C16" s="231" t="s">
        <v>178</v>
      </c>
      <c r="D16" s="232"/>
      <c r="E16" s="232">
        <f>SUM(E2:E15)</f>
        <v>14534.079145563732</v>
      </c>
      <c r="F16" s="232">
        <f>SUM(F2:F15)</f>
        <v>12813.825445563733</v>
      </c>
      <c r="G16" s="232">
        <f>SUM(G2:G15)</f>
        <v>4644.001779568287</v>
      </c>
      <c r="H16" s="233"/>
    </row>
    <row r="17" spans="2:7">
      <c r="B17" s="253" t="s">
        <v>211</v>
      </c>
    </row>
    <row r="18" spans="2:7">
      <c r="B18" s="282" t="s">
        <v>204</v>
      </c>
      <c r="C18" s="279">
        <f>C19+C20</f>
        <v>14534.079145563732</v>
      </c>
      <c r="D18" t="s">
        <v>321</v>
      </c>
      <c r="G18" s="280">
        <f>(C19+C20)/751</f>
        <v>19.352968236436393</v>
      </c>
    </row>
    <row r="19" spans="2:7" ht="29">
      <c r="B19" s="254" t="s">
        <v>202</v>
      </c>
      <c r="C19" s="279">
        <f>SUM(E3:E10)</f>
        <v>1000.2537</v>
      </c>
      <c r="D19" t="s">
        <v>321</v>
      </c>
      <c r="G19" s="280">
        <f>C19/31</f>
        <v>32.266248387096773</v>
      </c>
    </row>
    <row r="20" spans="2:7" ht="29">
      <c r="B20" s="68" t="s">
        <v>203</v>
      </c>
      <c r="C20" s="279">
        <f>SUM(E12:E13)</f>
        <v>13533.825445563733</v>
      </c>
      <c r="D20" t="s">
        <v>321</v>
      </c>
      <c r="G20" s="280">
        <f>C20/720</f>
        <v>18.796979785505183</v>
      </c>
    </row>
    <row r="21" spans="2:7" ht="29">
      <c r="B21" s="282" t="s">
        <v>205</v>
      </c>
      <c r="C21" s="279">
        <f>C23</f>
        <v>12813.825445563733</v>
      </c>
      <c r="D21" t="s">
        <v>321</v>
      </c>
      <c r="G21" s="280">
        <f>C21/476</f>
        <v>26.91980135622633</v>
      </c>
    </row>
    <row r="22" spans="2:7" ht="29">
      <c r="B22" s="254" t="s">
        <v>206</v>
      </c>
      <c r="C22" s="279">
        <v>0</v>
      </c>
      <c r="D22" t="s">
        <v>322</v>
      </c>
      <c r="G22" s="280">
        <v>0</v>
      </c>
    </row>
    <row r="23" spans="2:7" ht="29">
      <c r="B23" s="254" t="s">
        <v>207</v>
      </c>
      <c r="C23" s="279">
        <f>F13</f>
        <v>12813.825445563733</v>
      </c>
      <c r="D23" t="s">
        <v>321</v>
      </c>
      <c r="G23" s="280">
        <f>C23/773</f>
        <v>16.576747018840532</v>
      </c>
    </row>
    <row r="24" spans="2:7">
      <c r="B24" s="264" t="s">
        <v>208</v>
      </c>
      <c r="C24" s="279">
        <f>G16</f>
        <v>4644.001779568287</v>
      </c>
      <c r="D24" t="s">
        <v>321</v>
      </c>
      <c r="G24" s="280">
        <f>C24/494</f>
        <v>9.4008133189641434</v>
      </c>
    </row>
    <row r="25" spans="2:7">
      <c r="B25" s="283" t="s">
        <v>209</v>
      </c>
      <c r="C25" s="279">
        <f>G3</f>
        <v>120.18408075000001</v>
      </c>
      <c r="D25" t="s">
        <v>321</v>
      </c>
      <c r="G25" s="280">
        <f>C25/7</f>
        <v>17.169154392857145</v>
      </c>
    </row>
    <row r="26" spans="2:7" ht="29">
      <c r="B26" s="283" t="s">
        <v>210</v>
      </c>
      <c r="C26" s="278">
        <f>G12+G13</f>
        <v>4523.8176988182868</v>
      </c>
      <c r="D26" t="s">
        <v>321</v>
      </c>
      <c r="G26" s="280">
        <f>C26/487</f>
        <v>9.289153385663834</v>
      </c>
    </row>
  </sheetData>
  <pageMargins left="0.7" right="0.7" top="0.75" bottom="0.75" header="0.3" footer="0.3"/>
  <pageSetup paperSize="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view="pageBreakPreview" zoomScale="40" zoomScaleNormal="80" zoomScaleSheetLayoutView="40" workbookViewId="0">
      <selection activeCell="E18" sqref="E18"/>
    </sheetView>
  </sheetViews>
  <sheetFormatPr defaultRowHeight="14.5"/>
  <cols>
    <col min="1" max="1" width="61.1796875" customWidth="1"/>
    <col min="2" max="2" width="12.1796875" customWidth="1"/>
    <col min="3" max="3" width="11.54296875" customWidth="1"/>
    <col min="4" max="4" width="11.08984375" customWidth="1"/>
    <col min="5" max="5" width="87.1796875" customWidth="1"/>
    <col min="6" max="6" width="9.7265625" bestFit="1" customWidth="1"/>
  </cols>
  <sheetData>
    <row r="1" spans="1:5" ht="72.5">
      <c r="A1" s="224" t="s">
        <v>174</v>
      </c>
      <c r="B1" s="226" t="s">
        <v>230</v>
      </c>
      <c r="C1" s="226" t="s">
        <v>229</v>
      </c>
      <c r="D1" s="269" t="s">
        <v>183</v>
      </c>
      <c r="E1" s="226" t="s">
        <v>232</v>
      </c>
    </row>
    <row r="2" spans="1:5">
      <c r="A2" s="258" t="s">
        <v>216</v>
      </c>
      <c r="B2" s="265"/>
      <c r="C2" s="265"/>
      <c r="D2" s="270"/>
      <c r="E2" s="273"/>
    </row>
    <row r="3" spans="1:5">
      <c r="A3" s="255" t="s">
        <v>238</v>
      </c>
      <c r="B3" s="266" t="s">
        <v>15</v>
      </c>
      <c r="C3" s="266" t="s">
        <v>15</v>
      </c>
      <c r="D3" s="271" t="s">
        <v>15</v>
      </c>
      <c r="E3" s="276" t="s">
        <v>315</v>
      </c>
    </row>
    <row r="4" spans="1:5" ht="14" customHeight="1">
      <c r="A4" s="255" t="s">
        <v>242</v>
      </c>
      <c r="B4" s="266" t="s">
        <v>15</v>
      </c>
      <c r="C4" s="266" t="s">
        <v>15</v>
      </c>
      <c r="D4" s="272" t="s">
        <v>15</v>
      </c>
      <c r="E4" s="276" t="s">
        <v>315</v>
      </c>
    </row>
    <row r="5" spans="1:5" ht="14" customHeight="1">
      <c r="A5" s="255" t="s">
        <v>243</v>
      </c>
      <c r="B5" s="266" t="s">
        <v>15</v>
      </c>
      <c r="C5" s="266" t="s">
        <v>15</v>
      </c>
      <c r="D5" s="272" t="s">
        <v>15</v>
      </c>
      <c r="E5" s="276" t="s">
        <v>315</v>
      </c>
    </row>
    <row r="6" spans="1:5" ht="14" customHeight="1">
      <c r="A6" s="255" t="s">
        <v>244</v>
      </c>
      <c r="B6" s="266" t="s">
        <v>15</v>
      </c>
      <c r="C6" s="266" t="s">
        <v>15</v>
      </c>
      <c r="D6" s="272" t="s">
        <v>15</v>
      </c>
      <c r="E6" s="276" t="s">
        <v>315</v>
      </c>
    </row>
    <row r="7" spans="1:5" ht="14" customHeight="1">
      <c r="A7" s="255" t="s">
        <v>245</v>
      </c>
      <c r="B7" s="266" t="s">
        <v>15</v>
      </c>
      <c r="C7" s="266" t="s">
        <v>15</v>
      </c>
      <c r="D7" s="272" t="s">
        <v>15</v>
      </c>
      <c r="E7" s="276" t="s">
        <v>315</v>
      </c>
    </row>
    <row r="8" spans="1:5" ht="14" customHeight="1">
      <c r="A8" s="255" t="s">
        <v>249</v>
      </c>
      <c r="B8" s="315">
        <f>0.3*('SEKTORY I ŹRÓDŁA EMISJI '!B18+'SEKTORY I ŹRÓDŁA EMISJI '!B21)</f>
        <v>1000.2537</v>
      </c>
      <c r="C8" s="315" t="s">
        <v>15</v>
      </c>
      <c r="D8" s="318">
        <f>0.25*('SEKTORY I ŹRÓDŁA EMISJI '!C18+'SEKTORY I ŹRÓDŁA EMISJI '!C20)</f>
        <v>120.18408075000001</v>
      </c>
      <c r="E8" s="312" t="s">
        <v>316</v>
      </c>
    </row>
    <row r="9" spans="1:5" ht="14" customHeight="1">
      <c r="A9" s="255" t="s">
        <v>250</v>
      </c>
      <c r="B9" s="316"/>
      <c r="C9" s="316"/>
      <c r="D9" s="319"/>
      <c r="E9" s="313"/>
    </row>
    <row r="10" spans="1:5" ht="14" customHeight="1">
      <c r="A10" s="255" t="s">
        <v>251</v>
      </c>
      <c r="B10" s="316"/>
      <c r="C10" s="316"/>
      <c r="D10" s="319"/>
      <c r="E10" s="313"/>
    </row>
    <row r="11" spans="1:5" ht="14" customHeight="1">
      <c r="A11" s="255" t="s">
        <v>252</v>
      </c>
      <c r="B11" s="316"/>
      <c r="C11" s="316"/>
      <c r="D11" s="319"/>
      <c r="E11" s="313"/>
    </row>
    <row r="12" spans="1:5" ht="14" customHeight="1">
      <c r="A12" s="255" t="s">
        <v>253</v>
      </c>
      <c r="B12" s="316"/>
      <c r="C12" s="316"/>
      <c r="D12" s="319"/>
      <c r="E12" s="313"/>
    </row>
    <row r="13" spans="1:5" ht="14" customHeight="1">
      <c r="A13" s="255" t="s">
        <v>240</v>
      </c>
      <c r="B13" s="317"/>
      <c r="C13" s="317"/>
      <c r="D13" s="320"/>
      <c r="E13" s="314"/>
    </row>
    <row r="14" spans="1:5">
      <c r="A14" s="261" t="s">
        <v>226</v>
      </c>
      <c r="B14" s="266"/>
      <c r="C14" s="266"/>
      <c r="D14" s="272"/>
      <c r="E14" s="273"/>
    </row>
    <row r="15" spans="1:5" ht="294.5">
      <c r="A15" s="255" t="s">
        <v>231</v>
      </c>
      <c r="B15" s="266">
        <f>D15/'Wskaźniki emisji 2020'!D9</f>
        <v>172.3952095808383</v>
      </c>
      <c r="C15" s="266"/>
      <c r="D15" s="272">
        <v>57.58</v>
      </c>
      <c r="E15" s="274" t="s">
        <v>233</v>
      </c>
    </row>
    <row r="16" spans="1:5" ht="341">
      <c r="A16" s="255" t="s">
        <v>234</v>
      </c>
      <c r="B16" s="266">
        <f>D16/'Wskaźniki emisji 2020'!D9</f>
        <v>213.3832335329341</v>
      </c>
      <c r="C16" s="266"/>
      <c r="D16" s="272">
        <v>71.27</v>
      </c>
      <c r="E16" s="275" t="s">
        <v>235</v>
      </c>
    </row>
    <row r="17" spans="1:5" ht="341">
      <c r="A17" s="255" t="s">
        <v>236</v>
      </c>
      <c r="B17" s="266">
        <f>D17/'Wskaźniki emisji 2020'!D9</f>
        <v>114.01197604790418</v>
      </c>
      <c r="C17" s="266"/>
      <c r="D17" s="272">
        <v>38.08</v>
      </c>
      <c r="E17" s="275" t="s">
        <v>237</v>
      </c>
    </row>
    <row r="18" spans="1:5" ht="46.5">
      <c r="A18" s="255" t="s">
        <v>241</v>
      </c>
      <c r="B18" s="266"/>
      <c r="C18" s="267">
        <f>(128/'Prognozy ogólne'!G59)*0.4*150*'Prognozy ogólne'!O53/'Prognozy ogólne'!G59+76*3.5*0.9</f>
        <v>493.17072265449906</v>
      </c>
      <c r="D18" s="272">
        <f>(128/'Prognozy ogólne'!G59)*0.4*150*'Prognozy ogólne'!O53/'Prognozy ogólne'!G59*'Wskaźniki emisji 2020'!D9+76*3.5*0.9*'Wskaźniki emisji 2020'!D16</f>
        <v>279.1522213666027</v>
      </c>
      <c r="E18" s="274" t="s">
        <v>312</v>
      </c>
    </row>
    <row r="19" spans="1:5" ht="31">
      <c r="A19" s="255" t="s">
        <v>254</v>
      </c>
      <c r="B19" s="266"/>
      <c r="C19" s="267">
        <f>706.415*0.9</f>
        <v>635.77350000000001</v>
      </c>
      <c r="D19" s="272">
        <f>C19*'Wskaźniki emisji 2020'!D16</f>
        <v>516.24808200000007</v>
      </c>
      <c r="E19" s="274" t="s">
        <v>313</v>
      </c>
    </row>
    <row r="20" spans="1:5" ht="13.5" customHeight="1">
      <c r="A20" s="261" t="s">
        <v>218</v>
      </c>
      <c r="B20" s="266"/>
      <c r="C20" s="266"/>
      <c r="D20" s="272"/>
      <c r="E20" s="273"/>
    </row>
    <row r="21" spans="1:5" ht="29">
      <c r="A21" s="255" t="s">
        <v>239</v>
      </c>
      <c r="B21" s="315">
        <f>113.403/'SEKTORY I ŹRÓDŁA EMISJI '!J13*'SEKTORY I ŹRÓDŁA EMISJI '!J25*0.05</f>
        <v>6.3851505509181976</v>
      </c>
      <c r="C21" s="315" t="s">
        <v>15</v>
      </c>
      <c r="D21" s="318">
        <f>113.403/'SEKTORY I ŹRÓDŁA EMISJI '!J13*'SEKTORY I ŹRÓDŁA EMISJI '!K13*0.05</f>
        <v>1.4116689012954702</v>
      </c>
      <c r="E21" s="311" t="s">
        <v>314</v>
      </c>
    </row>
    <row r="22" spans="1:5" ht="29">
      <c r="A22" s="255" t="s">
        <v>246</v>
      </c>
      <c r="B22" s="316"/>
      <c r="C22" s="316"/>
      <c r="D22" s="319"/>
      <c r="E22" s="311"/>
    </row>
    <row r="23" spans="1:5" ht="29">
      <c r="A23" s="255" t="s">
        <v>247</v>
      </c>
      <c r="B23" s="316"/>
      <c r="C23" s="316"/>
      <c r="D23" s="319"/>
      <c r="E23" s="311"/>
    </row>
    <row r="24" spans="1:5">
      <c r="A24" s="255" t="s">
        <v>255</v>
      </c>
      <c r="B24" s="316"/>
      <c r="C24" s="316"/>
      <c r="D24" s="319"/>
      <c r="E24" s="311"/>
    </row>
    <row r="25" spans="1:5" ht="29.5" thickBot="1">
      <c r="A25" s="255" t="s">
        <v>248</v>
      </c>
      <c r="B25" s="321"/>
      <c r="C25" s="321"/>
      <c r="D25" s="322"/>
      <c r="E25" s="311"/>
    </row>
    <row r="26" spans="1:5" ht="15" thickBot="1">
      <c r="B26" s="268">
        <f>SUM(B2:B25)</f>
        <v>1506.429269712595</v>
      </c>
      <c r="C26" s="268">
        <f>SUM(C2:C25)</f>
        <v>1128.9442226544991</v>
      </c>
      <c r="D26" s="268">
        <f>SUM(D2:D25)</f>
        <v>1083.9260530178983</v>
      </c>
      <c r="E26" s="273"/>
    </row>
  </sheetData>
  <mergeCells count="8">
    <mergeCell ref="E21:E25"/>
    <mergeCell ref="E8:E13"/>
    <mergeCell ref="B8:B13"/>
    <mergeCell ref="C8:C13"/>
    <mergeCell ref="D8:D13"/>
    <mergeCell ref="B21:B25"/>
    <mergeCell ref="C21:C25"/>
    <mergeCell ref="D21:D25"/>
  </mergeCell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17</vt:i4>
      </vt:variant>
      <vt:variant>
        <vt:lpstr>Zakresy nazwane</vt:lpstr>
      </vt:variant>
      <vt:variant>
        <vt:i4>12</vt:i4>
      </vt:variant>
    </vt:vector>
  </HeadingPairs>
  <TitlesOfParts>
    <vt:vector size="29" baseType="lpstr">
      <vt:lpstr>STRONA</vt:lpstr>
      <vt:lpstr>Wskaźniki emisji 2014</vt:lpstr>
      <vt:lpstr>Wskaźniki emisji 2020</vt:lpstr>
      <vt:lpstr>Prognozy ogólne</vt:lpstr>
      <vt:lpstr>BAZA MAŁOPOLSKA EMISJI</vt:lpstr>
      <vt:lpstr>SEKTORY I ŹRÓDŁA EMISJI </vt:lpstr>
      <vt:lpstr>Arkusz3</vt:lpstr>
      <vt:lpstr>STOPIEŃ REALIZACJI WSKAŹNIKÓW</vt:lpstr>
      <vt:lpstr>ZADANIA ZREALIZOWANE DO 2020</vt:lpstr>
      <vt:lpstr>Podsumowanie</vt:lpstr>
      <vt:lpstr>PLAN DZIAŁAŃ do roku 2027</vt:lpstr>
      <vt:lpstr>Prognozy podsumowanie</vt:lpstr>
      <vt:lpstr>Prognoza OZE</vt:lpstr>
      <vt:lpstr>MONITORING W LATACH 2021-2025</vt:lpstr>
      <vt:lpstr>inne pyły i gazy</vt:lpstr>
      <vt:lpstr>Arkusz4</vt:lpstr>
      <vt:lpstr>TABLICA</vt:lpstr>
      <vt:lpstr>'BAZA MAŁOPOLSKA EMISJI'!Obszar_wydruku</vt:lpstr>
      <vt:lpstr>'PLAN DZIAŁAŃ do roku 2027'!Obszar_wydruku</vt:lpstr>
      <vt:lpstr>Podsumowanie!Obszar_wydruku</vt:lpstr>
      <vt:lpstr>'Prognoza OZE'!Obszar_wydruku</vt:lpstr>
      <vt:lpstr>'Prognozy ogólne'!Obszar_wydruku</vt:lpstr>
      <vt:lpstr>'Prognozy podsumowanie'!Obszar_wydruku</vt:lpstr>
      <vt:lpstr>'SEKTORY I ŹRÓDŁA EMISJI '!Obszar_wydruku</vt:lpstr>
      <vt:lpstr>'STOPIEŃ REALIZACJI WSKAŹNIKÓW'!Obszar_wydruku</vt:lpstr>
      <vt:lpstr>STRONA!Obszar_wydruku</vt:lpstr>
      <vt:lpstr>'Wskaźniki emisji 2014'!Obszar_wydruku</vt:lpstr>
      <vt:lpstr>'Wskaźniki emisji 2020'!Obszar_wydruku</vt:lpstr>
      <vt:lpstr>'ZADANIA ZREALIZOWANE DO 2020'!Obszar_wydruku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2023-03-27T13:56:32Z</dcterms:modified>
</cp:coreProperties>
</file>