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Budynki komunalne" sheetId="1" state="visible" r:id="rId2"/>
    <sheet name="Budynki mieszkalne" sheetId="2" state="visible" r:id="rId3"/>
    <sheet name="Budynki usługowe" sheetId="3" state="visible" r:id="rId4"/>
    <sheet name="Transport" sheetId="4" state="visible" r:id="rId5"/>
    <sheet name="oświetlenie uliczne" sheetId="5" state="visible" r:id="rId6"/>
    <sheet name="BEI" sheetId="6" state="visible" r:id="rId7"/>
    <sheet name="Cele PGN do 2020 roku" sheetId="7" state="visible" r:id="rId8"/>
  </sheets>
  <definedNames>
    <definedName function="false" hidden="false" localSheetId="0" name="_GoBack" vbProcedure="false">'Budynki komunalne'!$B$12</definedName>
    <definedName function="false" hidden="false" localSheetId="1" name="_GoBack" vbProcedure="false">'Budynki mieszkalne'!$B$12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<sst xmlns="http://schemas.openxmlformats.org/spreadsheetml/2006/main" count="2037" uniqueCount="402">
  <si>
    <t xml:space="preserve">Opis budynku/obiektu</t>
  </si>
  <si>
    <t xml:space="preserve">Budynki użyteczności pyblicznej</t>
  </si>
  <si>
    <t xml:space="preserve">L.p.</t>
  </si>
  <si>
    <t xml:space="preserve">Nazwa budynku</t>
  </si>
  <si>
    <t xml:space="preserve">Adres budynku/obiektu</t>
  </si>
  <si>
    <t xml:space="preserve">Zużycie energii cieplnej kWh/m2</t>
  </si>
  <si>
    <t xml:space="preserve">zużycie energii elektrycznej </t>
  </si>
  <si>
    <t xml:space="preserve">Rodzaj paliwa </t>
  </si>
  <si>
    <t xml:space="preserve">Rok budowy</t>
  </si>
  <si>
    <t xml:space="preserve">liczba kondygnacji</t>
  </si>
  <si>
    <t xml:space="preserve">kubatura budynku</t>
  </si>
  <si>
    <t xml:space="preserve">Powierzchnia budynku</t>
  </si>
  <si>
    <t xml:space="preserve">Liczba osób użytkujących budynek</t>
  </si>
  <si>
    <t xml:space="preserve">Czy był wykonany audyt energetyczny? </t>
  </si>
  <si>
    <t xml:space="preserve">węgiel kamienny</t>
  </si>
  <si>
    <t xml:space="preserve">gaz ziemny</t>
  </si>
  <si>
    <t xml:space="preserve">gaz skroplony - LPG </t>
  </si>
  <si>
    <t xml:space="preserve">olej opałowy </t>
  </si>
  <si>
    <t xml:space="preserve">inne</t>
  </si>
  <si>
    <t xml:space="preserve">biomasa </t>
  </si>
  <si>
    <t xml:space="preserve">pompy ciepła</t>
  </si>
  <si>
    <t xml:space="preserve">fotowoltaika</t>
  </si>
  <si>
    <t xml:space="preserve">kolektory słoneczne</t>
  </si>
  <si>
    <t xml:space="preserve">stan budynku</t>
  </si>
  <si>
    <t xml:space="preserve">termomodernizacja</t>
  </si>
  <si>
    <t xml:space="preserve">oświetlenie</t>
  </si>
  <si>
    <t xml:space="preserve">kWh</t>
  </si>
  <si>
    <t xml:space="preserve">Mg</t>
  </si>
  <si>
    <t xml:space="preserve">m3</t>
  </si>
  <si>
    <t xml:space="preserve">litry</t>
  </si>
  <si>
    <t xml:space="preserve">m2</t>
  </si>
  <si>
    <t xml:space="preserve">TAK/NIE</t>
  </si>
  <si>
    <t xml:space="preserve">Ściany zewnętrzne</t>
  </si>
  <si>
    <t xml:space="preserve">Dach/ stropodach</t>
  </si>
  <si>
    <t xml:space="preserve">Strop piwnicy</t>
  </si>
  <si>
    <t xml:space="preserve">Okna</t>
  </si>
  <si>
    <t xml:space="preserve">Drzwi/ bramy</t>
  </si>
  <si>
    <t xml:space="preserve">Ściany wewnętrzne</t>
  </si>
  <si>
    <t xml:space="preserve">Stropy wewnętrzne</t>
  </si>
  <si>
    <t xml:space="preserve">Podłogi na gruncie</t>
  </si>
  <si>
    <t xml:space="preserve">przeprowadzona</t>
  </si>
  <si>
    <t xml:space="preserve">planowana</t>
  </si>
  <si>
    <t xml:space="preserve">świetlówki </t>
  </si>
  <si>
    <t xml:space="preserve">oprawy żarowe</t>
  </si>
  <si>
    <t xml:space="preserve">LED</t>
  </si>
  <si>
    <t xml:space="preserve">Kolumna1</t>
  </si>
  <si>
    <t xml:space="preserve">Kolumna2</t>
  </si>
  <si>
    <t xml:space="preserve">Kolumna3</t>
  </si>
  <si>
    <t xml:space="preserve">Kolumna32</t>
  </si>
  <si>
    <t xml:space="preserve">Kolumna4</t>
  </si>
  <si>
    <t xml:space="preserve">Kolumna5</t>
  </si>
  <si>
    <t xml:space="preserve">Kolumna52</t>
  </si>
  <si>
    <t xml:space="preserve">Kolumna6</t>
  </si>
  <si>
    <t xml:space="preserve">Kolumna62</t>
  </si>
  <si>
    <t xml:space="preserve">Kolumna7</t>
  </si>
  <si>
    <t xml:space="preserve">Kolumna72</t>
  </si>
  <si>
    <t xml:space="preserve">Kolumna8</t>
  </si>
  <si>
    <t xml:space="preserve">Kolumna82</t>
  </si>
  <si>
    <t xml:space="preserve">Kolumna9</t>
  </si>
  <si>
    <t xml:space="preserve">Kolumna10</t>
  </si>
  <si>
    <t xml:space="preserve">Kolumna102</t>
  </si>
  <si>
    <t xml:space="preserve">Kolumna103</t>
  </si>
  <si>
    <t xml:space="preserve">Kolumna11</t>
  </si>
  <si>
    <t xml:space="preserve">Kolumna112</t>
  </si>
  <si>
    <t xml:space="preserve">Kolumna12</t>
  </si>
  <si>
    <t xml:space="preserve">Kolumna13</t>
  </si>
  <si>
    <t xml:space="preserve">Kolumna14</t>
  </si>
  <si>
    <t xml:space="preserve">Kolumna142</t>
  </si>
  <si>
    <t xml:space="preserve">Kolumna15</t>
  </si>
  <si>
    <t xml:space="preserve">Kolumna16</t>
  </si>
  <si>
    <t xml:space="preserve">Kolumna17</t>
  </si>
  <si>
    <t xml:space="preserve">Zespół Szkół w Lubczy</t>
  </si>
  <si>
    <t xml:space="preserve">33-162 Lubcza 51</t>
  </si>
  <si>
    <t xml:space="preserve">nie</t>
  </si>
  <si>
    <t xml:space="preserve">dobry, wymagający czyszczenia z mchu</t>
  </si>
  <si>
    <t xml:space="preserve">dobry</t>
  </si>
  <si>
    <t xml:space="preserve">tak w 2007, wymiana okien, docieplenie budynku styropianem 12 cm, wymiana dachu, docieplenie stropów styropianem, wylewki na stropie</t>
  </si>
  <si>
    <t xml:space="preserve">Szkoła Podstawowa im. Jana Pawła II</t>
  </si>
  <si>
    <t xml:space="preserve">Joniny 3</t>
  </si>
  <si>
    <t xml:space="preserve">wymagający</t>
  </si>
  <si>
    <t xml:space="preserve">nie wymagający</t>
  </si>
  <si>
    <t xml:space="preserve">2008, ocieplenie ścian, wymiana stolarki okiennej, drzwi wejściowe</t>
  </si>
  <si>
    <t xml:space="preserve">wymiana kotła c.o., grzejniki</t>
  </si>
  <si>
    <t xml:space="preserve">Publiczna Szkoła Podstawowa w Bistuszowej</t>
  </si>
  <si>
    <t xml:space="preserve">Bistuszowa 82                                               33-160 Ryglice</t>
  </si>
  <si>
    <t xml:space="preserve">2005-2008</t>
  </si>
  <si>
    <t xml:space="preserve">brak danych</t>
  </si>
  <si>
    <t xml:space="preserve">dobry/nie wymagający ocieplenia</t>
  </si>
  <si>
    <t xml:space="preserve">brak</t>
  </si>
  <si>
    <t xml:space="preserve">nowy budynek z ociepleniem</t>
  </si>
  <si>
    <t xml:space="preserve">Publiczne Gimnazjum nr 1 w Ryglicach wraz z halą sportową </t>
  </si>
  <si>
    <t xml:space="preserve">ul. Tarnowska 25                                          33-160 Ryglice</t>
  </si>
  <si>
    <t xml:space="preserve">Szkoła Podstawowa
im. Kardynała Stefana Wyszyńskiego</t>
  </si>
  <si>
    <t xml:space="preserve">ul. Tarnowska 29                                              33-160 Ryglice</t>
  </si>
  <si>
    <t xml:space="preserve">nie wymaga ocieplenia</t>
  </si>
  <si>
    <t xml:space="preserve">nie dotyczy</t>
  </si>
  <si>
    <t xml:space="preserve">Szkoła Podstawowa w Woli Lubeckiej
</t>
  </si>
  <si>
    <t xml:space="preserve">Wola Lubecka 164</t>
  </si>
  <si>
    <t xml:space="preserve">Zespół Szkolno-Przedszkolny w Zalasowej</t>
  </si>
  <si>
    <t xml:space="preserve">ul. Karpacka 21                                                33-159 Zalasowa</t>
  </si>
  <si>
    <t xml:space="preserve">wymagajace</t>
  </si>
  <si>
    <t xml:space="preserve">wymagające</t>
  </si>
  <si>
    <t xml:space="preserve">2013; ocieplenie ścian zewnętrznych warstwą styropianu metoda BSO, docieplenie stropu pod dachem szkoły i Sali gimnastycznej, wymiana okien na PCV z szybą zespoloną; w 2015 r. montaż nowego kotła kondesacyjnego c.o., montaż instalacji c.o.</t>
  </si>
  <si>
    <t xml:space="preserve">Szkoła Podstawowa w Kowalowej</t>
  </si>
  <si>
    <t xml:space="preserve">33-161 Kowalowa 10</t>
  </si>
  <si>
    <t xml:space="preserve">zły</t>
  </si>
  <si>
    <t xml:space="preserve">2008; wymiana dachu, wymiana stolarki okiennej i drzwiowej, wykonanie elewacji zewnętrznej budynku</t>
  </si>
  <si>
    <t xml:space="preserve">Kompleks sportowo - rekreacyjny Orlik 2012</t>
  </si>
  <si>
    <t xml:space="preserve">33-161 Kowalowa</t>
  </si>
  <si>
    <t xml:space="preserve">2012-2013</t>
  </si>
  <si>
    <t xml:space="preserve">-</t>
  </si>
  <si>
    <t xml:space="preserve">Przedszkole</t>
  </si>
  <si>
    <t xml:space="preserve">ul. 11 listopada 8                                    Ryglice</t>
  </si>
  <si>
    <t xml:space="preserve">2007; docieplenie ścian, elewacji i wymiana stolarki okiennej i drzwiowej</t>
  </si>
  <si>
    <t xml:space="preserve">2017; wymiana kotła gazowego wraz z instalacją, kolektory słoneczne</t>
  </si>
  <si>
    <t xml:space="preserve">Urząd Miejski w Ryglicach</t>
  </si>
  <si>
    <t xml:space="preserve">Rynek 9                                                33-160 Ryglice</t>
  </si>
  <si>
    <t xml:space="preserve">Budynek OSP w Ryglicach</t>
  </si>
  <si>
    <t xml:space="preserve">ul. Tarnowska 15                                        33-160 Ryglice</t>
  </si>
  <si>
    <t xml:space="preserve">może</t>
  </si>
  <si>
    <t xml:space="preserve">2009, wymiana pieca</t>
  </si>
  <si>
    <t xml:space="preserve">Budynek ośrodka zdrowia w Ryglicach (użytkowo-mieszkalny)</t>
  </si>
  <si>
    <t xml:space="preserve">ul. Tarnowska 21                                33-160 Ryglice</t>
  </si>
  <si>
    <t xml:space="preserve">Budynek starej szkoły (użytkowy)</t>
  </si>
  <si>
    <t xml:space="preserve">ul. Ks. J. Wyrwy 2                                    33-160 Ryglice</t>
  </si>
  <si>
    <t xml:space="preserve">Budynek "Sokół" (użytkowy)</t>
  </si>
  <si>
    <t xml:space="preserve">ul. Rynek 1                                          33-160 Ryglice</t>
  </si>
  <si>
    <t xml:space="preserve">Budynek Weterynarii (mieszkalny)</t>
  </si>
  <si>
    <t xml:space="preserve">ul.Tarnowska 27                                               33-160 Ryglice</t>
  </si>
  <si>
    <t xml:space="preserve">Budynek po ZGK (użytkowy)</t>
  </si>
  <si>
    <t xml:space="preserve">ul. A.Mickiewicza 27                                 33-160 Ryglice</t>
  </si>
  <si>
    <t xml:space="preserve">tak</t>
  </si>
  <si>
    <t xml:space="preserve">Budynek "Brzezinki" (mieszkalny)</t>
  </si>
  <si>
    <t xml:space="preserve">ul. Rolnicza 70                                               33-160 Ryglice</t>
  </si>
  <si>
    <t xml:space="preserve">Budynek "Spichlerza" (użytkowy)</t>
  </si>
  <si>
    <t xml:space="preserve">2012; ocieplono drewniane drzwi wejściowe, generalny remont</t>
  </si>
  <si>
    <t xml:space="preserve">Budynek ośrodka zdrowia w Zalasowej (użytkowo-mieszkalny)</t>
  </si>
  <si>
    <t xml:space="preserve">ul. Św. Walentego 9                                       33-159 Zalasowa</t>
  </si>
  <si>
    <t xml:space="preserve">Stary budynek wielofunkcyjny (użytkowy)</t>
  </si>
  <si>
    <t xml:space="preserve">ul. Kościelna 3                                    33-159 Zalasowa</t>
  </si>
  <si>
    <t xml:space="preserve">2015, wymiana jednego zkotłów gazowych</t>
  </si>
  <si>
    <t xml:space="preserve">Pałac pod Dębami (użytkowy)</t>
  </si>
  <si>
    <t xml:space="preserve">ul. Św. Walentego 1                                       33-159 Zalasowa</t>
  </si>
  <si>
    <t xml:space="preserve">nie, budynek stosunkowo nowy</t>
  </si>
  <si>
    <t xml:space="preserve">Budynek Ośrodka Zdrowia w Lubczy (użytkowo-mieszkalny)</t>
  </si>
  <si>
    <t xml:space="preserve">33-162 Lubcza 451</t>
  </si>
  <si>
    <t xml:space="preserve">Stary budynek wielofunkcyjny tzw. "ochronka" (użytkowy)</t>
  </si>
  <si>
    <t xml:space="preserve">33-162 Lubcza 457</t>
  </si>
  <si>
    <t xml:space="preserve">planowana przebudowa budynku ok 2017</t>
  </si>
  <si>
    <t xml:space="preserve">Budynek socjalny (mieszkalny)</t>
  </si>
  <si>
    <t xml:space="preserve">33-162 Lubcza 52A</t>
  </si>
  <si>
    <t xml:space="preserve">2013/2014  generalny remont budynku, zamontowano nowy piec gazowy, wymiana okien na plastikowe</t>
  </si>
  <si>
    <t xml:space="preserve">"Perła Lubczy" (użytkowy)</t>
  </si>
  <si>
    <t xml:space="preserve">33-162 Lubcza 460</t>
  </si>
  <si>
    <t xml:space="preserve">2015, wymieniono jeden z kotłów gazowych na nowy</t>
  </si>
  <si>
    <t xml:space="preserve">Budynek OSP w Kowalowej (remiza)</t>
  </si>
  <si>
    <t xml:space="preserve">33-161 Kowalowa 196</t>
  </si>
  <si>
    <t xml:space="preserve">2010 w tym wymiana pieca</t>
  </si>
  <si>
    <t xml:space="preserve">Budynek OSP w Joninach (remiza)</t>
  </si>
  <si>
    <t xml:space="preserve">Joniny 213                                                    33-160 Ryglice</t>
  </si>
  <si>
    <t xml:space="preserve">2010, wymiana pieca</t>
  </si>
  <si>
    <t xml:space="preserve">Budynek OSP w Woli Lubeckiej</t>
  </si>
  <si>
    <t xml:space="preserve">Wola Lubecka                                                  33-162 Lubcza</t>
  </si>
  <si>
    <t xml:space="preserve">2011, bez wymiany pieca</t>
  </si>
  <si>
    <t xml:space="preserve">Dworek w Uniszowej</t>
  </si>
  <si>
    <t xml:space="preserve">Uniszowa 10                                      33-160 Ryglice</t>
  </si>
  <si>
    <t xml:space="preserve">Budynek ''po siostrach zakonnych''</t>
  </si>
  <si>
    <t xml:space="preserve">33-162 Lubcza 52</t>
  </si>
  <si>
    <t xml:space="preserve">Suma</t>
  </si>
  <si>
    <t xml:space="preserve">SUMA m2</t>
  </si>
  <si>
    <t xml:space="preserve">Emisja CO2 (t)</t>
  </si>
  <si>
    <t xml:space="preserve">Zużycie energi elektrycznej/m2 [MWh/m2]</t>
  </si>
  <si>
    <t xml:space="preserve">Współczynnik emisji [t CO2/MWh]</t>
  </si>
  <si>
    <t xml:space="preserve">Zużycie energi cieplnej/m2 [MWh/m2]</t>
  </si>
  <si>
    <t xml:space="preserve">Wartość opałowa netto MJ/t lub MJ/m3</t>
  </si>
  <si>
    <t xml:space="preserve">zuzycie energi/m2 [MWh/m2]</t>
  </si>
  <si>
    <t xml:space="preserve">Przelicznik Mg/l</t>
  </si>
  <si>
    <t xml:space="preserve">suma (t)</t>
  </si>
  <si>
    <t xml:space="preserve">Zuzycie energii MJ</t>
  </si>
  <si>
    <t xml:space="preserve">Zuzycie energii MWh</t>
  </si>
  <si>
    <t xml:space="preserve">Budynki mieszkalne</t>
  </si>
  <si>
    <t xml:space="preserve">Rodzaj budynku</t>
  </si>
  <si>
    <t xml:space="preserve">Miejscowość</t>
  </si>
  <si>
    <t xml:space="preserve">wiek budynku [lata]</t>
  </si>
  <si>
    <t xml:space="preserve">Powierzchnia ogrzewana obiektu</t>
  </si>
  <si>
    <t xml:space="preserve">Sposób ogrzewania domu/mieszkania</t>
  </si>
  <si>
    <t xml:space="preserve">Energia odnawialna</t>
  </si>
  <si>
    <t xml:space="preserve">transport prywatny i komercyjny</t>
  </si>
  <si>
    <t xml:space="preserve">zużycie energii cieplnej</t>
  </si>
  <si>
    <t xml:space="preserve">ogrzewanie elektryczne</t>
  </si>
  <si>
    <t xml:space="preserve">gaz ciekły (propan-butan, LPG)</t>
  </si>
  <si>
    <t xml:space="preserve">biomasa</t>
  </si>
  <si>
    <t xml:space="preserve">Fotowoltaika</t>
  </si>
  <si>
    <t xml:space="preserve">Pompy ciepła</t>
  </si>
  <si>
    <t xml:space="preserve">energia elektryczna</t>
  </si>
  <si>
    <t xml:space="preserve">ilość samochodów</t>
  </si>
  <si>
    <t xml:space="preserve">zużycie paliw litry/rok</t>
  </si>
  <si>
    <t xml:space="preserve">podróże w granicach gminy</t>
  </si>
  <si>
    <t xml:space="preserve">kWh/m2</t>
  </si>
  <si>
    <t xml:space="preserve">zł</t>
  </si>
  <si>
    <t xml:space="preserve">11 kg</t>
  </si>
  <si>
    <t xml:space="preserve">[zł/mc]</t>
  </si>
  <si>
    <t xml:space="preserve">MWh</t>
  </si>
  <si>
    <t xml:space="preserve">benzyna [zł/mc]</t>
  </si>
  <si>
    <t xml:space="preserve">benzyna zł</t>
  </si>
  <si>
    <t xml:space="preserve">benzyna</t>
  </si>
  <si>
    <t xml:space="preserve">benzyna w granicach gminy</t>
  </si>
  <si>
    <t xml:space="preserve">LPG [zł/mc]</t>
  </si>
  <si>
    <t xml:space="preserve">LPG zł</t>
  </si>
  <si>
    <t xml:space="preserve">LPG</t>
  </si>
  <si>
    <t xml:space="preserve">LPG w granicach gminy</t>
  </si>
  <si>
    <t xml:space="preserve">olej napędowy [zł/mc]</t>
  </si>
  <si>
    <t xml:space="preserve">olej napędowy zł</t>
  </si>
  <si>
    <t xml:space="preserve">olej napędowy</t>
  </si>
  <si>
    <t xml:space="preserve">olej napędowy w granich gminy</t>
  </si>
  <si>
    <t xml:space="preserve">bio-diesel</t>
  </si>
  <si>
    <t xml:space="preserve">bio-diesel w granicach gminy</t>
  </si>
  <si>
    <t xml:space="preserve">%</t>
  </si>
  <si>
    <t xml:space="preserve">montaż kotła na biosasę</t>
  </si>
  <si>
    <t xml:space="preserve">montaż kolektorów słonecznych</t>
  </si>
  <si>
    <t xml:space="preserve">montaż instalacji fotowoltaicznej</t>
  </si>
  <si>
    <t xml:space="preserve">Kolumna33</t>
  </si>
  <si>
    <t xml:space="preserve">Kolumna332</t>
  </si>
  <si>
    <t xml:space="preserve">Kolumna34</t>
  </si>
  <si>
    <t xml:space="preserve">Kolumna85</t>
  </si>
  <si>
    <t xml:space="preserve">Kolumna84</t>
  </si>
  <si>
    <t xml:space="preserve">Kolumna822</t>
  </si>
  <si>
    <t xml:space="preserve">Kolumna83</t>
  </si>
  <si>
    <t xml:space="preserve">Kolumna92</t>
  </si>
  <si>
    <t xml:space="preserve">Kolumna122</t>
  </si>
  <si>
    <t xml:space="preserve">Kolumna1222</t>
  </si>
  <si>
    <t xml:space="preserve">Kolumna1223</t>
  </si>
  <si>
    <t xml:space="preserve">Kolumna123</t>
  </si>
  <si>
    <t xml:space="preserve">Kolumna125</t>
  </si>
  <si>
    <t xml:space="preserve">Kolumna22</t>
  </si>
  <si>
    <t xml:space="preserve">Kolumna23</t>
  </si>
  <si>
    <t xml:space="preserve">Kolumna222</t>
  </si>
  <si>
    <t xml:space="preserve">Kolumna223</t>
  </si>
  <si>
    <t xml:space="preserve">Kolumna322</t>
  </si>
  <si>
    <t xml:space="preserve">Kolumna42</t>
  </si>
  <si>
    <t xml:space="preserve">Kolumna63</t>
  </si>
  <si>
    <t xml:space="preserve">mieszkalny</t>
  </si>
  <si>
    <t xml:space="preserve">Ryglice</t>
  </si>
  <si>
    <t xml:space="preserve">nie planuję</t>
  </si>
  <si>
    <t xml:space="preserve">planuję</t>
  </si>
  <si>
    <t xml:space="preserve">planuję - pompa ciepła</t>
  </si>
  <si>
    <t xml:space="preserve">Uniszowa</t>
  </si>
  <si>
    <t xml:space="preserve">Lubcza</t>
  </si>
  <si>
    <t xml:space="preserve">Zalasowa</t>
  </si>
  <si>
    <t xml:space="preserve">Kowalowa</t>
  </si>
  <si>
    <t xml:space="preserve">ogrzewanie indywidualne</t>
  </si>
  <si>
    <t xml:space="preserve">mieszkalno-usługowy</t>
  </si>
  <si>
    <t xml:space="preserve">piec na pellet lub piec dyfuzyjny na gaz</t>
  </si>
  <si>
    <t xml:space="preserve">centralne ogrzewanie</t>
  </si>
  <si>
    <t xml:space="preserve">ciepło sieciowe</t>
  </si>
  <si>
    <t xml:space="preserve">usługowy</t>
  </si>
  <si>
    <t xml:space="preserve">Wola Lubecka</t>
  </si>
  <si>
    <t xml:space="preserve">Joniny</t>
  </si>
  <si>
    <t xml:space="preserve">ogrzewanie gazowe</t>
  </si>
  <si>
    <t xml:space="preserve">Bistuszowa</t>
  </si>
  <si>
    <t xml:space="preserve">pompa ciepła</t>
  </si>
  <si>
    <t xml:space="preserve">Suma litrów paliwa [l]</t>
  </si>
  <si>
    <t xml:space="preserve">Współczynnik przeliczeniowy [kWh/l]</t>
  </si>
  <si>
    <t xml:space="preserve">Wskaźnik emisji CO2 [t/MWh]</t>
  </si>
  <si>
    <t xml:space="preserve">Zużycie paliwa [MWh]</t>
  </si>
  <si>
    <t xml:space="preserve">liczba budynków w próbie</t>
  </si>
  <si>
    <t xml:space="preserve">zasoby mieszkaniowe w gminie</t>
  </si>
  <si>
    <t xml:space="preserve">powierzchnia budynków w próbie</t>
  </si>
  <si>
    <t xml:space="preserve">powierzchnia budynków w gminie</t>
  </si>
  <si>
    <t xml:space="preserve">emisja z całej gminy</t>
  </si>
  <si>
    <t xml:space="preserve">Budynki usługowe</t>
  </si>
  <si>
    <t xml:space="preserve">wiek budynku</t>
  </si>
  <si>
    <t xml:space="preserve">Zużycie energii elektrycznej</t>
  </si>
  <si>
    <t xml:space="preserve">podróże w granicach Gminy</t>
  </si>
  <si>
    <t xml:space="preserve">kW</t>
  </si>
  <si>
    <t xml:space="preserve">Kolumna152</t>
  </si>
  <si>
    <t xml:space="preserve">Kolumna18</t>
  </si>
  <si>
    <t xml:space="preserve">Kolumna20</t>
  </si>
  <si>
    <t xml:space="preserve">Kolumna21</t>
  </si>
  <si>
    <t xml:space="preserve">pokrycie dachowe</t>
  </si>
  <si>
    <t xml:space="preserve">Ryglice, Joniny, Kowalowa</t>
  </si>
  <si>
    <t xml:space="preserve">Usługowy</t>
  </si>
  <si>
    <t xml:space="preserve">pompa ciepła działan na pow. 180 m2</t>
  </si>
  <si>
    <t xml:space="preserve">liczba budynków w gminie</t>
  </si>
  <si>
    <t xml:space="preserve">Tabor gminny</t>
  </si>
  <si>
    <t xml:space="preserve">Rok produkcji</t>
  </si>
  <si>
    <t xml:space="preserve">zużyte paliwo litry/rok</t>
  </si>
  <si>
    <t xml:space="preserve">Ilość km/msc</t>
  </si>
  <si>
    <t xml:space="preserve">Bio-diesel</t>
  </si>
  <si>
    <t xml:space="preserve">OSP Zalasowa</t>
  </si>
  <si>
    <t xml:space="preserve">OSP Ryglice</t>
  </si>
  <si>
    <t xml:space="preserve">OSP Lubcza</t>
  </si>
  <si>
    <t xml:space="preserve">OSP Wola Lubecka</t>
  </si>
  <si>
    <t xml:space="preserve">OSP Kowalowa</t>
  </si>
  <si>
    <t xml:space="preserve">OSP Joniny</t>
  </si>
  <si>
    <t xml:space="preserve">Gazela -KTA WS1</t>
  </si>
  <si>
    <t xml:space="preserve">Volkswagen</t>
  </si>
  <si>
    <t xml:space="preserve">Ford Transit</t>
  </si>
  <si>
    <t xml:space="preserve">SUMA</t>
  </si>
  <si>
    <t xml:space="preserve">Trnasport prywatny i komercyjny</t>
  </si>
  <si>
    <t xml:space="preserve">Komunalne oświetlenie uliczne</t>
  </si>
  <si>
    <t xml:space="preserve">Zużycie energii elektrycznej MWh</t>
  </si>
  <si>
    <t xml:space="preserve">Wspołczynnik emisji [t CO2/MWh]</t>
  </si>
  <si>
    <t xml:space="preserve">WYJŚCIOWA INWENTARYZACJA EMISJI</t>
  </si>
  <si>
    <t xml:space="preserve">1) Rok inwentaryzacji</t>
  </si>
  <si>
    <r>
      <rPr>
        <sz val="9"/>
        <color rgb="FF000000"/>
        <rFont val="Czcionka tekstu podstawowego"/>
        <family val="0"/>
        <charset val="238"/>
      </rPr>
      <t xml:space="preserve">W przypadku sygnatariuszy Porozumienia obliczających emisję CO</t>
    </r>
    <r>
      <rPr>
        <vertAlign val="subscript"/>
        <sz val="9"/>
        <color rgb="FF000000"/>
        <rFont val="Czcionka tekstu podstawowego"/>
        <family val="0"/>
        <charset val="238"/>
      </rPr>
      <t xml:space="preserve">2 </t>
    </r>
    <r>
      <rPr>
        <sz val="9"/>
        <color rgb="FF000000"/>
        <rFont val="Czcionka tekstu podstawowego"/>
        <family val="0"/>
        <charset val="238"/>
      </rPr>
      <t xml:space="preserve">na mieszkańca, należy sprecyzować tutaj liczbę mieszkańców w roku inwentaryzacji:</t>
    </r>
  </si>
  <si>
    <t xml:space="preserve">2) Współczynnik emisji</t>
  </si>
  <si>
    <t xml:space="preserve">Należy zaznaczyć odpowiednie pole wyboru:</t>
  </si>
  <si>
    <t xml:space="preserve">X</t>
  </si>
  <si>
    <t xml:space="preserve">  Standardowe współczynniki emisji, zgodne z zasadami IPCC</t>
  </si>
  <si>
    <t xml:space="preserve">  Współczynniki LCA (ocena cyklu życia)</t>
  </si>
  <si>
    <t xml:space="preserve">Jednostka zgłaszania emisji</t>
  </si>
  <si>
    <t xml:space="preserve">Neleży zaznaczyć odpowiednie pole wyboru:</t>
  </si>
  <si>
    <r>
      <rPr>
        <sz val="9"/>
        <color rgb="FF000000"/>
        <rFont val="Czcionka tekstu podstawowego"/>
        <family val="0"/>
        <charset val="238"/>
      </rPr>
      <t xml:space="preserve">  Emisje CO</t>
    </r>
    <r>
      <rPr>
        <vertAlign val="subscript"/>
        <sz val="11"/>
        <color rgb="FF000000"/>
        <rFont val="Czcionka tekstu podstawowego"/>
        <family val="0"/>
        <charset val="238"/>
      </rPr>
      <t xml:space="preserve">2</t>
    </r>
  </si>
  <si>
    <t xml:space="preserve">3) Główne wyniki wyjściowej inwentaryzacji emisji</t>
  </si>
  <si>
    <r>
      <rPr>
        <sz val="9"/>
        <color rgb="FF000000"/>
        <rFont val="Czcionka tekstu podstawowego"/>
        <family val="0"/>
        <charset val="238"/>
      </rPr>
      <t xml:space="preserve">  Emisje ekwiwalentu CO</t>
    </r>
    <r>
      <rPr>
        <vertAlign val="subscript"/>
        <sz val="11"/>
        <color rgb="FF000000"/>
        <rFont val="Czcionka tekstu podstawowego"/>
        <family val="0"/>
        <charset val="238"/>
      </rPr>
      <t xml:space="preserve">2</t>
    </r>
  </si>
  <si>
    <t xml:space="preserve">Objaśnienia kolorów i symboli:</t>
  </si>
  <si>
    <t xml:space="preserve">Komórki zielone to pola obowiązkowe</t>
  </si>
  <si>
    <t xml:space="preserve">Szarych pól nie można edytować</t>
  </si>
  <si>
    <t xml:space="preserve">A. Końcowe zużycie energii</t>
  </si>
  <si>
    <t xml:space="preserve">Należy zauważyć, że jako separatora dziesiętnego używa się kropki (.). Separatory tysięcy nie są dozwolone.</t>
  </si>
  <si>
    <t xml:space="preserve">Kategoria</t>
  </si>
  <si>
    <t xml:space="preserve">Końcowe zużycie energii [MWh]</t>
  </si>
  <si>
    <t xml:space="preserve">Energia elektryczna</t>
  </si>
  <si>
    <t xml:space="preserve">Ciepło/chłód</t>
  </si>
  <si>
    <t xml:space="preserve">Paliwa kopalne</t>
  </si>
  <si>
    <t xml:space="preserve">Energia odnawilana</t>
  </si>
  <si>
    <t xml:space="preserve">Razem</t>
  </si>
  <si>
    <t xml:space="preserve">Gaz ziemny</t>
  </si>
  <si>
    <t xml:space="preserve">Gaz ciekły</t>
  </si>
  <si>
    <t xml:space="preserve">Olej opałowy</t>
  </si>
  <si>
    <t xml:space="preserve">Olej napędowy</t>
  </si>
  <si>
    <t xml:space="preserve">Benzyna</t>
  </si>
  <si>
    <t xml:space="preserve">Węgiel brunatny</t>
  </si>
  <si>
    <t xml:space="preserve">Węgiel kamienny</t>
  </si>
  <si>
    <t xml:space="preserve">Inne paliwa kopalne</t>
  </si>
  <si>
    <t xml:space="preserve">Biopaliwo - biomasa</t>
  </si>
  <si>
    <t xml:space="preserve">Olej roślinny bio diesel</t>
  </si>
  <si>
    <t xml:space="preserve">Inna biomasa</t>
  </si>
  <si>
    <t xml:space="preserve">Słoneczna cieplna</t>
  </si>
  <si>
    <t xml:space="preserve">Geotermiczna</t>
  </si>
  <si>
    <t xml:space="preserve">BUDYNKI, WYPOSAŻENIE/URZĄDZENIA I PRZEMYSŁ:</t>
  </si>
  <si>
    <t xml:space="preserve">Budynki, wyposażenie/urządzenia komunalne</t>
  </si>
  <si>
    <t xml:space="preserve">Budynki, wyposażenie/urządzenia usługowe (niekomunalne)</t>
  </si>
  <si>
    <t xml:space="preserve">Komunalne oświetlenie publiczne</t>
  </si>
  <si>
    <t xml:space="preserve">Przemysł (z wyjątkiem zakładów objętych systemem handlu uprawnieniami do emisji UE - ETS)</t>
  </si>
  <si>
    <t xml:space="preserve">Budynki, wyposażenie/urządzenia i przemysł razem</t>
  </si>
  <si>
    <t xml:space="preserve">TRANSPORT:</t>
  </si>
  <si>
    <t xml:space="preserve">Transport publiczny</t>
  </si>
  <si>
    <t xml:space="preserve">Transport prywatny i komercyjny</t>
  </si>
  <si>
    <t xml:space="preserve">Transport razem</t>
  </si>
  <si>
    <r>
      <rPr>
        <sz val="10"/>
        <color rgb="FF000000"/>
        <rFont val="Czcionka tekstu podstawowego"/>
        <family val="0"/>
        <charset val="238"/>
      </rPr>
      <t xml:space="preserve">Odnośne współczynniki emisji CO</t>
    </r>
    <r>
      <rPr>
        <vertAlign val="subscript"/>
        <sz val="10"/>
        <color rgb="FF000000"/>
        <rFont val="Czcionka tekstu podstawowego"/>
        <family val="0"/>
        <charset val="238"/>
      </rPr>
      <t xml:space="preserve">2</t>
    </r>
    <r>
      <rPr>
        <sz val="10"/>
        <color rgb="FF000000"/>
        <rFont val="Czcionka tekstu podstawowego"/>
        <family val="0"/>
        <charset val="238"/>
      </rPr>
      <t xml:space="preserve"> [t/MWh]</t>
    </r>
  </si>
  <si>
    <r>
      <rPr>
        <sz val="10"/>
        <color rgb="FF000000"/>
        <rFont val="Czcionka tekstu podstawowego"/>
        <family val="0"/>
        <charset val="238"/>
      </rPr>
      <t xml:space="preserve">Współczynnik emisji CO</t>
    </r>
    <r>
      <rPr>
        <vertAlign val="subscript"/>
        <sz val="10"/>
        <color rgb="FF000000"/>
        <rFont val="Czcionka tekstu podstawowego"/>
        <family val="0"/>
        <charset val="238"/>
      </rPr>
      <t xml:space="preserve">2</t>
    </r>
    <r>
      <rPr>
        <sz val="10"/>
        <color rgb="FF000000"/>
        <rFont val="Czcionka tekstu podstawowego"/>
        <family val="0"/>
        <charset val="238"/>
      </rPr>
      <t xml:space="preserve"> dla energii elektrycznej niewytwarzanej lokalnie [t/MWh]</t>
    </r>
  </si>
  <si>
    <r>
      <rPr>
        <b val="true"/>
        <sz val="11"/>
        <color rgb="FF0070C0"/>
        <rFont val="Czcionka tekstu podstawowego"/>
        <family val="0"/>
        <charset val="238"/>
      </rPr>
      <t xml:space="preserve">B. Emisje CO</t>
    </r>
    <r>
      <rPr>
        <b val="true"/>
        <vertAlign val="subscript"/>
        <sz val="11"/>
        <color rgb="FF0070C0"/>
        <rFont val="Czcionka tekstu podstawowego"/>
        <family val="0"/>
        <charset val="238"/>
      </rPr>
      <t xml:space="preserve">2</t>
    </r>
    <r>
      <rPr>
        <b val="true"/>
        <sz val="11"/>
        <color rgb="FF0070C0"/>
        <rFont val="Czcionka tekstu podstawowego"/>
        <family val="0"/>
        <charset val="238"/>
      </rPr>
      <t xml:space="preserve"> lub ekwiwalentu CO</t>
    </r>
    <r>
      <rPr>
        <b val="true"/>
        <vertAlign val="subscript"/>
        <sz val="11"/>
        <color rgb="FF0070C0"/>
        <rFont val="Czcionka tekstu podstawowego"/>
        <family val="0"/>
        <charset val="238"/>
      </rPr>
      <t xml:space="preserve">2</t>
    </r>
  </si>
  <si>
    <t xml:space="preserve">Emisje CO2 (t)/emisje ekwiwalentu CO2 (t)</t>
  </si>
  <si>
    <t xml:space="preserve">Olej roślinny</t>
  </si>
  <si>
    <t xml:space="preserve">INNE:</t>
  </si>
  <si>
    <t xml:space="preserve">Gospodarowanie odpadami</t>
  </si>
  <si>
    <t xml:space="preserve">Gospodarowanie ściekami</t>
  </si>
  <si>
    <t xml:space="preserve">Tutaj należy wpisać inne emisje ________________________________</t>
  </si>
  <si>
    <r>
      <rPr>
        <sz val="11"/>
        <color rgb="FF000000"/>
        <rFont val="Czcionka tekstu podstawowego"/>
        <family val="2"/>
        <charset val="238"/>
      </rPr>
      <t xml:space="preserve">Współczynnik emisji CO</t>
    </r>
    <r>
      <rPr>
        <vertAlign val="subscript"/>
        <sz val="11"/>
        <color rgb="FF000000"/>
        <rFont val="Czcionka tekstu podstawowego"/>
        <family val="0"/>
        <charset val="238"/>
      </rPr>
      <t xml:space="preserve">2</t>
    </r>
    <r>
      <rPr>
        <sz val="11"/>
        <color rgb="FF000000"/>
        <rFont val="Czcionka tekstu podstawowego"/>
        <family val="2"/>
        <charset val="238"/>
      </rPr>
      <t xml:space="preserve"> dla energii elektrycznej niewytwarzanej lokalnie [t/MWh]</t>
    </r>
  </si>
  <si>
    <r>
      <rPr>
        <b val="true"/>
        <sz val="11"/>
        <color rgb="FF0070C0"/>
        <rFont val="Czcionka tekstu podstawowego"/>
        <family val="0"/>
        <charset val="238"/>
      </rPr>
      <t xml:space="preserve">C. Lokalne wytwarzanie energii elektrycznej i odnośne emisje CO</t>
    </r>
    <r>
      <rPr>
        <b val="true"/>
        <vertAlign val="subscript"/>
        <sz val="11"/>
        <color rgb="FF0070C0"/>
        <rFont val="Czcionka tekstu podstawowego"/>
        <family val="0"/>
        <charset val="238"/>
      </rPr>
      <t xml:space="preserve">2</t>
    </r>
  </si>
  <si>
    <t xml:space="preserve">Energia elektryczna wytwarzana lokalnie (z wyjątkiem zakładów ETS oraz wszystkich zakładów /jednostek &gt; 20MW)</t>
  </si>
  <si>
    <t xml:space="preserve">Energia elektryczna wytwarzana lokalnie [MWh]</t>
  </si>
  <si>
    <t xml:space="preserve">Nakład nosników energii [MWh]</t>
  </si>
  <si>
    <r>
      <rPr>
        <b val="true"/>
        <sz val="9"/>
        <color rgb="FF000000"/>
        <rFont val="Czcionka tekstu podstawowego"/>
        <family val="0"/>
        <charset val="238"/>
      </rPr>
      <t xml:space="preserve">Emisje CO</t>
    </r>
    <r>
      <rPr>
        <b val="true"/>
        <vertAlign val="subscript"/>
        <sz val="9"/>
        <color rgb="FF000000"/>
        <rFont val="Czcionka tekstu podstawowego"/>
        <family val="0"/>
        <charset val="238"/>
      </rPr>
      <t xml:space="preserve">2</t>
    </r>
    <r>
      <rPr>
        <b val="true"/>
        <sz val="9"/>
        <color rgb="FF000000"/>
        <rFont val="Czcionka tekstu podstawowego"/>
        <family val="0"/>
        <charset val="238"/>
      </rPr>
      <t xml:space="preserve">/ekw. CO</t>
    </r>
    <r>
      <rPr>
        <b val="true"/>
        <vertAlign val="subscript"/>
        <sz val="9"/>
        <color rgb="FF000000"/>
        <rFont val="Czcionka tekstu podstawowego"/>
        <family val="0"/>
        <charset val="238"/>
      </rPr>
      <t xml:space="preserve">2</t>
    </r>
    <r>
      <rPr>
        <b val="true"/>
        <sz val="9"/>
        <color rgb="FF000000"/>
        <rFont val="Czcionka tekstu podstawowego"/>
        <family val="0"/>
        <charset val="238"/>
      </rPr>
      <t xml:space="preserve"> (t)</t>
    </r>
  </si>
  <si>
    <r>
      <rPr>
        <b val="true"/>
        <sz val="9"/>
        <color rgb="FF000000"/>
        <rFont val="Czcionka tekstu podstawowego"/>
        <family val="0"/>
        <charset val="238"/>
      </rPr>
      <t xml:space="preserve">Odnośne współczynniki emisji CO</t>
    </r>
    <r>
      <rPr>
        <b val="true"/>
        <vertAlign val="subscript"/>
        <sz val="9"/>
        <color rgb="FF000000"/>
        <rFont val="Czcionka tekstu podstawowego"/>
        <family val="0"/>
        <charset val="238"/>
      </rPr>
      <t xml:space="preserve">2 </t>
    </r>
    <r>
      <rPr>
        <b val="true"/>
        <sz val="9"/>
        <color rgb="FF000000"/>
        <rFont val="Czcionka tekstu podstawowego"/>
        <family val="0"/>
        <charset val="238"/>
      </rPr>
      <t xml:space="preserve">dla wytwarzania energii elektrycznej [t/MWh]</t>
    </r>
  </si>
  <si>
    <t xml:space="preserve">Para</t>
  </si>
  <si>
    <t xml:space="preserve">Odpady</t>
  </si>
  <si>
    <t xml:space="preserve">Inne źródła odnawialne</t>
  </si>
  <si>
    <t xml:space="preserve">Inne</t>
  </si>
  <si>
    <t xml:space="preserve">Energia wiatru</t>
  </si>
  <si>
    <t xml:space="preserve">Energia hydroelektryczna</t>
  </si>
  <si>
    <t xml:space="preserve">Fotowoltaiczna</t>
  </si>
  <si>
    <t xml:space="preserve">Kogeneracja</t>
  </si>
  <si>
    <r>
      <rPr>
        <sz val="9"/>
        <color rgb="FF000000"/>
        <rFont val="Czcionka tekstu podstawowego"/>
        <family val="0"/>
        <charset val="238"/>
      </rPr>
      <t xml:space="preserve">Inne                                                                                                        </t>
    </r>
    <r>
      <rPr>
        <sz val="9"/>
        <color rgb="FFA6A6A6"/>
        <rFont val="Czcionka tekstu podstawowego"/>
        <family val="0"/>
        <charset val="238"/>
      </rPr>
      <t xml:space="preserve">Należy podać: _______________________________  </t>
    </r>
    <r>
      <rPr>
        <sz val="9"/>
        <color rgb="FF000000"/>
        <rFont val="Czcionka tekstu podstawowego"/>
        <family val="0"/>
        <charset val="238"/>
      </rPr>
      <t xml:space="preserve">                                                                                </t>
    </r>
  </si>
  <si>
    <r>
      <rPr>
        <b val="true"/>
        <sz val="11"/>
        <color rgb="FF0070C0"/>
        <rFont val="Czcionka tekstu podstawowego"/>
        <family val="0"/>
        <charset val="238"/>
      </rPr>
      <t xml:space="preserve">D. Lokalne wytwarzanie ciepła/chłodu (ciepłownictwo/chłodnictwo komunalne, instalacje kogeneracji …) i odnośne emisje CO</t>
    </r>
    <r>
      <rPr>
        <b val="true"/>
        <vertAlign val="subscript"/>
        <sz val="11"/>
        <color rgb="FF0070C0"/>
        <rFont val="Czcionka tekstu podstawowego"/>
        <family val="0"/>
        <charset val="238"/>
      </rPr>
      <t xml:space="preserve">2</t>
    </r>
  </si>
  <si>
    <t xml:space="preserve">Lokalnie wytwarzane ciepło/chłód</t>
  </si>
  <si>
    <t xml:space="preserve">Lokalnie wytwarzane ciepło/chłód (MWh)</t>
  </si>
  <si>
    <t xml:space="preserve">Nakład nośników energii (MWh)</t>
  </si>
  <si>
    <t xml:space="preserve">Emisje CO2/ekw. CO2 (t)</t>
  </si>
  <si>
    <t xml:space="preserve">Odnośne współczynniki emisji CO2 dla wytwarzania ciepła/chłodu [t/MWh]</t>
  </si>
  <si>
    <t xml:space="preserve">Ciepłownie miejskie</t>
  </si>
  <si>
    <r>
      <rPr>
        <sz val="11"/>
        <color rgb="FF000000"/>
        <rFont val="Czcionka tekstu podstawowego"/>
        <family val="2"/>
        <charset val="238"/>
      </rPr>
      <t xml:space="preserve">                                    Inne                                                                           </t>
    </r>
    <r>
      <rPr>
        <sz val="9"/>
        <color rgb="FFA6A6A6"/>
        <rFont val="Czcionka tekstu podstawowego"/>
        <family val="0"/>
        <charset val="238"/>
      </rPr>
      <t xml:space="preserve">Należy podać: __________________________</t>
    </r>
  </si>
  <si>
    <t xml:space="preserve">Cele strategiczne</t>
  </si>
  <si>
    <t xml:space="preserve">Cel</t>
  </si>
  <si>
    <t xml:space="preserve">Wartość liczbowa [MWh]/ [Mg CO2]</t>
  </si>
  <si>
    <t xml:space="preserve">Wartość procentowa [%]</t>
  </si>
  <si>
    <t xml:space="preserve">1. Zmniejszenie o 0,7% - 751 MWh zapotrzebowania na energię finalną do 2020 roku</t>
  </si>
  <si>
    <t xml:space="preserve">2. Zwiększenie 0,9% - 476 MWh udziału energii pochodzącej ze źródeł odnawialnych do 2020 roku</t>
  </si>
  <si>
    <t xml:space="preserve">3. Zmniejszenie o 2,2% emisji CO2 – 494 Mg CO2 do 2020 roku</t>
  </si>
  <si>
    <t xml:space="preserve">Cele szczegółowe dla celu strategicznego 1. Zmniejszenie o 0,7% - 751 MWh zapotrzebowania na energię finalną do 2020 roku</t>
  </si>
  <si>
    <t xml:space="preserve">Cel szczegółowy</t>
  </si>
  <si>
    <t xml:space="preserve">Wartość liczbowa [MWh]</t>
  </si>
  <si>
    <t xml:space="preserve">1.1 Zmniejszenie o 1,3% -   31 MWh zapotrzebowania na energię finalną w sektorze komunalnym do 2020 roku</t>
  </si>
  <si>
    <t xml:space="preserve">1.2 Zmniejszenie o 0,8% - 720 MWh zapotrzebowania na energię finalną w sektorze mieszkalnym i sektorze usługowym do 2020 roku</t>
  </si>
  <si>
    <t xml:space="preserve">Cele szczegółowe dla celu strategicznego 2. Zwiększenie 0,9% - 476 MWh udziału energii pochodzącej ze źródeł odnawialnych do 2020 roku</t>
  </si>
  <si>
    <t xml:space="preserve">2.1 Zwiększenie o 23,1% - 3 MWh udziału energii pochodzącej ze źródeł odnawialnych w sektorze komunalnym do 2020 roku</t>
  </si>
  <si>
    <t xml:space="preserve">2.2 Zwiększenie o 0,9% - 473 MWh udziału energii pochodzącej ze źródeł odnawialnych w sektorze mieszkalnym i w sektorze usługowym do 2020 roku</t>
  </si>
  <si>
    <t xml:space="preserve">Cele szczegółowe dla celu stragicznego 3. Zmniejszenie o 2,2% emisji CO2 – 494 Mg CO2 do 2020 roku</t>
  </si>
  <si>
    <t xml:space="preserve">3.1 Zmniejszenie o 0,8% emisji CO2 – 7 Mg CO2 w sektorze komunalnym do 2020 roku</t>
  </si>
  <si>
    <t xml:space="preserve">3.2 Zmniejszenie o 2,9% emisji CO2 – 487 Mg CO2 w sektorze mieszkalnym i sektorze usługowym do 2020 roku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</si>
</sst>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0"/>
    <numFmt numFmtId="167" formatCode="0.00%"/>
    <numFmt numFmtId="168" formatCode="#,##0"/>
    <numFmt numFmtId="169" formatCode="0%"/>
    <numFmt numFmtId="170" formatCode="0.0"/>
    <numFmt numFmtId="171" formatCode="0.000"/>
    <numFmt numFmtId="172" formatCode="#,##0.0&quot; zł&quot;"/>
    <numFmt numFmtId="173" formatCode="#,##0.00"/>
    <numFmt numFmtId="174" formatCode="0.0%"/>
  </numFmts>
  <fonts count="39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4"/>
      <color rgb="FFFFFFFF"/>
      <name val="Czcionka tekstu podstawowego"/>
      <family val="0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FFFFFF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rgb="FF000000"/>
      <name val="Czcionka tekstu podstawowego"/>
      <family val="0"/>
      <charset val="238"/>
    </font>
    <font>
      <b val="true"/>
      <sz val="11"/>
      <color rgb="FFFFFFFF"/>
      <name val="Czcionka tekstu podstawowego"/>
      <family val="0"/>
      <charset val="238"/>
    </font>
    <font>
      <sz val="10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b val="true"/>
      <sz val="14"/>
      <color rgb="FF000000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1"/>
      <color rgb="FF0070C0"/>
      <name val="Czcionka tekstu podstawowego"/>
      <family val="0"/>
      <charset val="238"/>
    </font>
    <font>
      <sz val="9"/>
      <color rgb="FF000000"/>
      <name val="Czcionka tekstu podstawowego"/>
      <family val="0"/>
      <charset val="238"/>
    </font>
    <font>
      <vertAlign val="subscript"/>
      <sz val="9"/>
      <color rgb="FF000000"/>
      <name val="Czcionka tekstu podstawowego"/>
      <family val="0"/>
      <charset val="238"/>
    </font>
    <font>
      <sz val="9"/>
      <color rgb="FFA6A6A6"/>
      <name val="Czcionka tekstu podstawowego"/>
      <family val="0"/>
      <charset val="238"/>
    </font>
    <font>
      <vertAlign val="subscript"/>
      <sz val="11"/>
      <color rgb="FF000000"/>
      <name val="Czcionka tekstu podstawowego"/>
      <family val="0"/>
      <charset val="238"/>
    </font>
    <font>
      <b val="true"/>
      <sz val="8"/>
      <color rgb="FF000000"/>
      <name val="Czcionka tekstu podstawowego"/>
      <family val="0"/>
      <charset val="238"/>
    </font>
    <font>
      <b val="true"/>
      <sz val="9"/>
      <color rgb="FF000000"/>
      <name val="Czcionka tekstu podstawowego"/>
      <family val="0"/>
      <charset val="238"/>
    </font>
    <font>
      <b val="true"/>
      <sz val="9"/>
      <color rgb="FFFFFFFF"/>
      <name val="Czcionka tekstu podstawowego"/>
      <family val="0"/>
      <charset val="238"/>
    </font>
    <font>
      <b val="true"/>
      <sz val="10"/>
      <color rgb="FF000000"/>
      <name val="Czcionka tekstu podstawowego"/>
      <family val="0"/>
      <charset val="238"/>
    </font>
    <font>
      <vertAlign val="subscript"/>
      <sz val="10"/>
      <color rgb="FF000000"/>
      <name val="Czcionka tekstu podstawowego"/>
      <family val="0"/>
      <charset val="238"/>
    </font>
    <font>
      <b val="true"/>
      <vertAlign val="subscript"/>
      <sz val="11"/>
      <color rgb="FF0070C0"/>
      <name val="Czcionka tekstu podstawowego"/>
      <family val="0"/>
      <charset val="238"/>
    </font>
    <font>
      <sz val="9"/>
      <color rgb="FF000000"/>
      <name val="Czcionka tekstu podstawowego"/>
      <family val="2"/>
      <charset val="238"/>
    </font>
    <font>
      <sz val="8"/>
      <color rgb="FFA6A6A6"/>
      <name val="Czcionka tekstu podstawowego"/>
      <family val="0"/>
      <charset val="238"/>
    </font>
    <font>
      <b val="true"/>
      <vertAlign val="subscript"/>
      <sz val="9"/>
      <color rgb="FF000000"/>
      <name val="Czcionka tekstu podstawowego"/>
      <family val="0"/>
      <charset val="238"/>
    </font>
    <font>
      <b val="true"/>
      <sz val="12"/>
      <color rgb="FFFFFFFF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A5A5A5"/>
        <bgColor rgb="FFA6A6A6"/>
      </patternFill>
    </fill>
    <fill>
      <patternFill patternType="solid">
        <fgColor rgb="FFFFFFCC"/>
        <bgColor rgb="FFFDEADA"/>
      </patternFill>
    </fill>
    <fill>
      <patternFill patternType="solid">
        <fgColor rgb="FFFDEADA"/>
        <bgColor rgb="FFEEECE1"/>
      </patternFill>
    </fill>
    <fill>
      <patternFill patternType="solid">
        <fgColor rgb="FFC0504D"/>
        <bgColor rgb="FF993300"/>
      </patternFill>
    </fill>
    <fill>
      <patternFill patternType="solid">
        <fgColor rgb="FF4BACC6"/>
        <bgColor rgb="FF3494BA"/>
      </patternFill>
    </fill>
    <fill>
      <patternFill patternType="solid">
        <fgColor rgb="FF9BBB59"/>
        <bgColor rgb="FF92D050"/>
      </patternFill>
    </fill>
    <fill>
      <patternFill patternType="solid">
        <fgColor rgb="FFF79646"/>
        <bgColor rgb="FFFF9900"/>
      </patternFill>
    </fill>
    <fill>
      <patternFill patternType="solid">
        <fgColor rgb="FF8064A2"/>
        <bgColor rgb="FF878787"/>
      </patternFill>
    </fill>
    <fill>
      <patternFill patternType="solid">
        <fgColor rgb="FFD7E4BD"/>
        <bgColor rgb="FFD9D9D9"/>
      </patternFill>
    </fill>
    <fill>
      <patternFill patternType="solid">
        <fgColor rgb="FFB9CDE5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9900"/>
        <bgColor rgb="FFF79646"/>
      </patternFill>
    </fill>
    <fill>
      <patternFill patternType="solid">
        <fgColor rgb="FF7030A0"/>
        <bgColor rgb="FF333399"/>
      </patternFill>
    </fill>
    <fill>
      <patternFill patternType="solid">
        <fgColor rgb="FFD9D9D9"/>
        <bgColor rgb="FFD7E4BD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66"/>
      </patternFill>
    </fill>
    <fill>
      <patternFill patternType="solid">
        <fgColor rgb="FFB3A2C7"/>
        <bgColor rgb="FFA6A6A6"/>
      </patternFill>
    </fill>
    <fill>
      <patternFill patternType="solid">
        <fgColor rgb="FFFFFF66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9BBB59"/>
      </patternFill>
    </fill>
    <fill>
      <patternFill patternType="solid">
        <fgColor rgb="FFBFBFBF"/>
        <bgColor rgb="FFB3B3B3"/>
      </patternFill>
    </fill>
    <fill>
      <patternFill patternType="solid">
        <fgColor rgb="FF33CCCC"/>
        <bgColor rgb="FF4BACC6"/>
      </patternFill>
    </fill>
    <fill>
      <patternFill patternType="solid">
        <fgColor rgb="FF17375E"/>
        <bgColor rgb="FF002060"/>
      </patternFill>
    </fill>
    <fill>
      <patternFill patternType="solid">
        <fgColor rgb="FF002060"/>
        <bgColor rgb="FF17375E"/>
      </patternFill>
    </fill>
    <fill>
      <patternFill patternType="solid">
        <fgColor rgb="FF3494BA"/>
        <bgColor rgb="FF4BACC6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/>
      <right/>
      <top style="double">
        <color rgb="FF3F3F3F"/>
      </top>
      <bottom style="double">
        <color rgb="FF3F3F3F"/>
      </bottom>
      <diagonal/>
    </border>
    <border diagonalUp="false" diagonalDown="false"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true" diagonalDown="true">
      <left style="thin"/>
      <right style="thin"/>
      <top/>
      <bottom style="thin"/>
      <diagonal style="thin"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 diagonalUp="false" diagonalDown="false">
      <left/>
      <right/>
      <top style="double">
        <color rgb="FF3F3F3F"/>
      </top>
      <bottom/>
      <diagonal/>
    </border>
    <border diagonalUp="false" diagonalDown="false"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 diagonalUp="false" diagonalDown="false">
      <left style="thin">
        <color rgb="FFEEECE1"/>
      </left>
      <right/>
      <top/>
      <bottom style="thin">
        <color rgb="FFB2B2B2"/>
      </bottom>
      <diagonal/>
    </border>
    <border diagonalUp="false" diagonalDown="false">
      <left/>
      <right style="thin">
        <color rgb="FFB2B2B2"/>
      </right>
      <top style="thin">
        <color rgb="FFB2B2B2"/>
      </top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true" diagonalDown="true">
      <left style="thin"/>
      <right style="thin"/>
      <top style="thin"/>
      <bottom/>
      <diagonal style="thin"/>
    </border>
    <border diagonalUp="true" diagonalDown="true">
      <left style="thin"/>
      <right style="thin"/>
      <top/>
      <bottom/>
      <diagonal style="thin"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>
        <color rgb="FFEEECE1"/>
      </left>
      <right style="thin">
        <color rgb="FFEEECE1"/>
      </right>
      <top style="thin">
        <color rgb="FFEEECE1"/>
      </top>
      <bottom/>
      <diagonal/>
    </border>
    <border diagonalUp="false" diagonalDown="false">
      <left style="double">
        <color rgb="FF3F3F3F"/>
      </left>
      <right style="double">
        <color rgb="FF3F3F3F"/>
      </right>
      <top/>
      <bottom/>
      <diagonal/>
    </border>
    <border diagonalUp="false" diagonalDown="false">
      <left style="double">
        <color rgb="FF3F3F3F"/>
      </left>
      <right/>
      <top style="double">
        <color rgb="FF3F3F3F"/>
      </top>
      <bottom/>
      <diagonal/>
    </border>
    <border diagonalUp="false" diagonalDown="false">
      <left style="thin">
        <color rgb="FFEEECE1"/>
      </left>
      <right style="thin">
        <color rgb="FFEEECE1"/>
      </right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/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/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/>
      <bottom/>
      <diagonal/>
    </border>
    <border diagonalUp="false" diagonalDown="false">
      <left/>
      <right style="medium">
        <color rgb="FFFFFFFF"/>
      </right>
      <top/>
      <bottom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9" borderId="0" applyFont="true" applyBorder="false" applyAlignment="true" applyProtection="false">
      <alignment horizontal="general" vertical="bottom" textRotation="0" wrapText="false" indent="0" shrinkToFit="false"/>
    </xf>
    <xf numFmtId="164" fontId="14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</cellStyleXfs>
  <cellXfs count="3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21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4" fillId="3" borderId="1" xfId="21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3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3" xfId="21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4" xfId="21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5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4" xfId="21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2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2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2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13" borderId="6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13" borderId="6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3" borderId="6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3" borderId="7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13" borderId="6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6" xfId="2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8" borderId="6" xfId="2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14" borderId="6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4" borderId="6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4" borderId="7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14" borderId="6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4" borderId="6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5" borderId="6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5" borderId="6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5" borderId="7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15" borderId="6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6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16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1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16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17" borderId="8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17" borderId="8" xfId="24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17" borderId="9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7" borderId="7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17" borderId="6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7" borderId="10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7" borderId="9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1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3" borderId="11" xfId="21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12" xfId="21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6" borderId="13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8" borderId="14" xfId="2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6" borderId="13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6" borderId="1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15" xfId="2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8" borderId="16" xfId="2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5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1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0" fillId="13" borderId="20" xfId="2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13" borderId="7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7" fillId="13" borderId="7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13" borderId="7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13" borderId="7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13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1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13" borderId="6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7" fillId="14" borderId="7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4" fillId="14" borderId="7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9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14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14" borderId="7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9" borderId="20" xfId="2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0" fillId="19" borderId="9" xfId="2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19" borderId="10" xfId="2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9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7" fillId="15" borderId="7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4" fillId="15" borderId="7" xfId="28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5" borderId="20" xfId="3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5" borderId="6" xfId="3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5" borderId="7" xfId="3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2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16" borderId="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16" borderId="2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1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7" borderId="20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17" borderId="6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17" borderId="7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7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1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1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17" borderId="7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16" borderId="2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16" borderId="2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9" borderId="2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9" borderId="6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9" borderId="7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9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9" borderId="7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1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16" borderId="1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4" fillId="17" borderId="7" xfId="24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4" fillId="17" borderId="23" xfId="24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17" borderId="7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4" fillId="13" borderId="20" xfId="2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1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3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17" borderId="7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17" borderId="6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6" borderId="25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26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6" borderId="25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27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6" borderId="2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6" borderId="2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6" borderId="28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1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16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7" borderId="6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17" borderId="6" xfId="24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4" fillId="13" borderId="6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6" xfId="2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0" fillId="11" borderId="9" xfId="2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9" xfId="2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29" xfId="2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6" xfId="3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12" borderId="6" xfId="3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21" xfId="3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21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6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9" borderId="6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9" borderId="21" xfId="2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3" fillId="17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6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6" borderId="6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6" borderId="21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3" fillId="17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9" borderId="6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6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6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0" borderId="6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2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23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3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3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2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4" borderId="6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31" fillId="25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2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6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4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2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2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2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2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1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7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7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7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16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— akcent 2 2" xfId="20" builtinId="53" customBuiltin="true"/>
    <cellStyle name="Excel Built-in Check Cell" xfId="21" builtinId="53" customBuiltin="true"/>
    <cellStyle name="Excel Built-in Note" xfId="22" builtinId="53" customBuiltin="true"/>
    <cellStyle name="Excel Built-in 20% - Accent6" xfId="23" builtinId="53" customBuiltin="true"/>
    <cellStyle name="Excel Built-in Accent2" xfId="24" builtinId="53" customBuiltin="true"/>
    <cellStyle name="Excel Built-in Accent5" xfId="25" builtinId="53" customBuiltin="true"/>
    <cellStyle name="Excel Built-in Accent3" xfId="26" builtinId="53" customBuiltin="true"/>
    <cellStyle name="Excel Built-in Accent6" xfId="27" builtinId="53" customBuiltin="true"/>
    <cellStyle name="Excel Built-in Accent4" xfId="28" builtinId="53" customBuiltin="true"/>
    <cellStyle name="Excel Built-in 40% - Accent3" xfId="29" builtinId="53" customBuiltin="true"/>
    <cellStyle name="Excel Built-in 40% - Accent1" xfId="3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9B49"/>
      <rgbColor rgb="FF800080"/>
      <rgbColor rgb="FF4BACC6"/>
      <rgbColor rgb="FFBFBFBF"/>
      <rgbColor rgb="FF878787"/>
      <rgbColor rgb="FFA6A6A6"/>
      <rgbColor rgb="FF7030A0"/>
      <rgbColor rgb="FFFFFFCC"/>
      <rgbColor rgb="FFEEECE1"/>
      <rgbColor rgb="FF660066"/>
      <rgbColor rgb="FFF79646"/>
      <rgbColor rgb="FF0070C0"/>
      <rgbColor rgb="FFB9CDE5"/>
      <rgbColor rgb="FF000080"/>
      <rgbColor rgb="FFFF00FF"/>
      <rgbColor rgb="FFFDEADA"/>
      <rgbColor rgb="FF00FFFF"/>
      <rgbColor rgb="FF800080"/>
      <rgbColor rgb="FF800000"/>
      <rgbColor rgb="FF008080"/>
      <rgbColor rgb="FF0000FF"/>
      <rgbColor rgb="FF00B0F0"/>
      <rgbColor rgb="FFD9D9D9"/>
      <rgbColor rgb="FFD7E4BD"/>
      <rgbColor rgb="FFFFFF66"/>
      <rgbColor rgb="FFB3B3B3"/>
      <rgbColor rgb="FFB2B2B2"/>
      <rgbColor rgb="FFB3A2C7"/>
      <rgbColor rgb="FFF2DCDB"/>
      <rgbColor rgb="FF3366FF"/>
      <rgbColor rgb="FF33CCCC"/>
      <rgbColor rgb="FF92D050"/>
      <rgbColor rgb="FFFFC000"/>
      <rgbColor rgb="FFFF9900"/>
      <rgbColor rgb="FF9BBB59"/>
      <rgbColor rgb="FF8064A2"/>
      <rgbColor rgb="FFA5A5A5"/>
      <rgbColor rgb="FF17375E"/>
      <rgbColor rgb="FF3494BA"/>
      <rgbColor rgb="FF003300"/>
      <rgbColor rgb="FF333300"/>
      <rgbColor rgb="FF993300"/>
      <rgbColor rgb="FFC0504D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422231331047846"/>
          <c:y val="0.0115528474903475"/>
          <c:w val="0.439223431211805"/>
          <c:h val="0.95647321428571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'Budynki komunalne'!$AK$6</c:f>
              <c:strCache>
                <c:ptCount val="1"/>
                <c:pt idx="0">
                  <c:v>świetlówki </c:v>
                </c:pt>
              </c:strCache>
            </c:strRef>
          </c:tx>
          <c:spPr>
            <a:solidFill>
              <a:srgbClr val="809b49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'Budynki komunalne'!$B$8:$B$38</c:f>
              <c:strCache>
                <c:ptCount val="31"/>
                <c:pt idx="0">
                  <c:v>Zespół Szkół w Lubczy</c:v>
                </c:pt>
                <c:pt idx="1">
                  <c:v>Szkoła Podstawowa im. Jana Pawła II</c:v>
                </c:pt>
                <c:pt idx="2">
                  <c:v>Publiczna Szkoła Podstawowa w Bistuszowej</c:v>
                </c:pt>
                <c:pt idx="3">
                  <c:v>Publiczne Gimnazjum nr 1 w Ryglicach wraz z halą sportową </c:v>
                </c:pt>
                <c:pt idx="4">
                  <c:v>Szkoła Podstawowa
im. Kardynała Stefana Wyszyńskiego</c:v>
                </c:pt>
                <c:pt idx="5">
                  <c:v>Szkoła Podstawowa w Woli Lubeckiej
</c:v>
                </c:pt>
                <c:pt idx="6">
                  <c:v>Zespół Szkolno-Przedszkolny w Zalasowej</c:v>
                </c:pt>
                <c:pt idx="7">
                  <c:v>Szkoła Podstawowa w Kowalowej</c:v>
                </c:pt>
                <c:pt idx="8">
                  <c:v>Kompleks sportowo - rekreacyjny Orlik 2012</c:v>
                </c:pt>
                <c:pt idx="9">
                  <c:v>Przedszkole</c:v>
                </c:pt>
                <c:pt idx="10">
                  <c:v>Urząd Miejski w Ryglicach</c:v>
                </c:pt>
                <c:pt idx="11">
                  <c:v>Budynek OSP w Ryglicach</c:v>
                </c:pt>
                <c:pt idx="12">
                  <c:v>Budynek ośrodka zdrowia w Ryglicach (użytkowo-mieszkalny)</c:v>
                </c:pt>
                <c:pt idx="13">
                  <c:v>Budynek starej szkoły (użytkowy)</c:v>
                </c:pt>
                <c:pt idx="14">
                  <c:v>Budynek "Sokół" (użytkowy)</c:v>
                </c:pt>
                <c:pt idx="15">
                  <c:v>Budynek Weterynarii (mieszkalny)</c:v>
                </c:pt>
                <c:pt idx="16">
                  <c:v>Budynek po ZGK (użytkowy)</c:v>
                </c:pt>
                <c:pt idx="17">
                  <c:v>Budynek "Brzezinki" (mieszkalny)</c:v>
                </c:pt>
                <c:pt idx="18">
                  <c:v>Budynek "Spichlerza" (użytkowy)</c:v>
                </c:pt>
                <c:pt idx="19">
                  <c:v>Budynek ośrodka zdrowia w Zalasowej (użytkowo-mieszkalny)</c:v>
                </c:pt>
                <c:pt idx="20">
                  <c:v>Stary budynek wielofunkcyjny (użytkowy)</c:v>
                </c:pt>
                <c:pt idx="21">
                  <c:v>Pałac pod Dębami (użytkowy)</c:v>
                </c:pt>
                <c:pt idx="22">
                  <c:v>Budynek Ośrodka Zdrowia w Lubczy (użytkowo-mieszkalny)</c:v>
                </c:pt>
                <c:pt idx="23">
                  <c:v>Stary budynek wielofunkcyjny tzw. "ochronka" (użytkowy)</c:v>
                </c:pt>
                <c:pt idx="24">
                  <c:v>Budynek socjalny (mieszkalny)</c:v>
                </c:pt>
                <c:pt idx="25">
                  <c:v>"Perła Lubczy" (użytkowy)</c:v>
                </c:pt>
                <c:pt idx="26">
                  <c:v>Budynek OSP w Kowalowej (remiza)</c:v>
                </c:pt>
                <c:pt idx="27">
                  <c:v>Budynek OSP w Joninach (remiza)</c:v>
                </c:pt>
                <c:pt idx="28">
                  <c:v>Budynek OSP w Woli Lubeckiej</c:v>
                </c:pt>
                <c:pt idx="29">
                  <c:v>Dworek w Uniszowej</c:v>
                </c:pt>
                <c:pt idx="30">
                  <c:v>Budynek ''po siostrach zakonnych''</c:v>
                </c:pt>
              </c:strCache>
            </c:strRef>
          </c:cat>
          <c:val>
            <c:numRef>
              <c:f>'Budynki komunalne'!$AK$8:$AK$38</c:f>
              <c:numCache>
                <c:formatCode>General</c:formatCode>
                <c:ptCount val="31"/>
                <c:pt idx="0">
                  <c:v>0.98</c:v>
                </c:pt>
                <c:pt idx="1">
                  <c:v>0.82</c:v>
                </c:pt>
                <c:pt idx="2">
                  <c:v>0.7</c:v>
                </c:pt>
                <c:pt idx="3">
                  <c:v>0.7287</c:v>
                </c:pt>
                <c:pt idx="4">
                  <c:v>1</c:v>
                </c:pt>
                <c:pt idx="5">
                  <c:v>0.85</c:v>
                </c:pt>
                <c:pt idx="6">
                  <c:v>0.9</c:v>
                </c:pt>
                <c:pt idx="7">
                  <c:v>0.6</c:v>
                </c:pt>
                <c:pt idx="8">
                  <c:v>0.6</c:v>
                </c:pt>
                <c:pt idx="9">
                  <c:v>1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ser>
          <c:idx val="1"/>
          <c:order val="1"/>
          <c:tx>
            <c:strRef>
              <c:f>'Budynki komunalne'!$AL$6</c:f>
              <c:strCache>
                <c:ptCount val="1"/>
                <c:pt idx="0">
                  <c:v>oprawy żarowe</c:v>
                </c:pt>
              </c:strCache>
            </c:strRef>
          </c:tx>
          <c:spPr>
            <a:solidFill>
              <a:srgbClr val="ffff6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'Budynki komunalne'!$B$8:$B$38</c:f>
              <c:strCache>
                <c:ptCount val="31"/>
                <c:pt idx="0">
                  <c:v>Zespół Szkół w Lubczy</c:v>
                </c:pt>
                <c:pt idx="1">
                  <c:v>Szkoła Podstawowa im. Jana Pawła II</c:v>
                </c:pt>
                <c:pt idx="2">
                  <c:v>Publiczna Szkoła Podstawowa w Bistuszowej</c:v>
                </c:pt>
                <c:pt idx="3">
                  <c:v>Publiczne Gimnazjum nr 1 w Ryglicach wraz z halą sportową </c:v>
                </c:pt>
                <c:pt idx="4">
                  <c:v>Szkoła Podstawowa
im. Kardynała Stefana Wyszyńskiego</c:v>
                </c:pt>
                <c:pt idx="5">
                  <c:v>Szkoła Podstawowa w Woli Lubeckiej
</c:v>
                </c:pt>
                <c:pt idx="6">
                  <c:v>Zespół Szkolno-Przedszkolny w Zalasowej</c:v>
                </c:pt>
                <c:pt idx="7">
                  <c:v>Szkoła Podstawowa w Kowalowej</c:v>
                </c:pt>
                <c:pt idx="8">
                  <c:v>Kompleks sportowo - rekreacyjny Orlik 2012</c:v>
                </c:pt>
                <c:pt idx="9">
                  <c:v>Przedszkole</c:v>
                </c:pt>
                <c:pt idx="10">
                  <c:v>Urząd Miejski w Ryglicach</c:v>
                </c:pt>
                <c:pt idx="11">
                  <c:v>Budynek OSP w Ryglicach</c:v>
                </c:pt>
                <c:pt idx="12">
                  <c:v>Budynek ośrodka zdrowia w Ryglicach (użytkowo-mieszkalny)</c:v>
                </c:pt>
                <c:pt idx="13">
                  <c:v>Budynek starej szkoły (użytkowy)</c:v>
                </c:pt>
                <c:pt idx="14">
                  <c:v>Budynek "Sokół" (użytkowy)</c:v>
                </c:pt>
                <c:pt idx="15">
                  <c:v>Budynek Weterynarii (mieszkalny)</c:v>
                </c:pt>
                <c:pt idx="16">
                  <c:v>Budynek po ZGK (użytkowy)</c:v>
                </c:pt>
                <c:pt idx="17">
                  <c:v>Budynek "Brzezinki" (mieszkalny)</c:v>
                </c:pt>
                <c:pt idx="18">
                  <c:v>Budynek "Spichlerza" (użytkowy)</c:v>
                </c:pt>
                <c:pt idx="19">
                  <c:v>Budynek ośrodka zdrowia w Zalasowej (użytkowo-mieszkalny)</c:v>
                </c:pt>
                <c:pt idx="20">
                  <c:v>Stary budynek wielofunkcyjny (użytkowy)</c:v>
                </c:pt>
                <c:pt idx="21">
                  <c:v>Pałac pod Dębami (użytkowy)</c:v>
                </c:pt>
                <c:pt idx="22">
                  <c:v>Budynek Ośrodka Zdrowia w Lubczy (użytkowo-mieszkalny)</c:v>
                </c:pt>
                <c:pt idx="23">
                  <c:v>Stary budynek wielofunkcyjny tzw. "ochronka" (użytkowy)</c:v>
                </c:pt>
                <c:pt idx="24">
                  <c:v>Budynek socjalny (mieszkalny)</c:v>
                </c:pt>
                <c:pt idx="25">
                  <c:v>"Perła Lubczy" (użytkowy)</c:v>
                </c:pt>
                <c:pt idx="26">
                  <c:v>Budynek OSP w Kowalowej (remiza)</c:v>
                </c:pt>
                <c:pt idx="27">
                  <c:v>Budynek OSP w Joninach (remiza)</c:v>
                </c:pt>
                <c:pt idx="28">
                  <c:v>Budynek OSP w Woli Lubeckiej</c:v>
                </c:pt>
                <c:pt idx="29">
                  <c:v>Dworek w Uniszowej</c:v>
                </c:pt>
                <c:pt idx="30">
                  <c:v>Budynek ''po siostrach zakonnych''</c:v>
                </c:pt>
              </c:strCache>
            </c:strRef>
          </c:cat>
          <c:val>
            <c:numRef>
              <c:f>'Budynki komunalne'!$AL$8:$AL$38</c:f>
              <c:numCache>
                <c:formatCode>General</c:formatCode>
                <c:ptCount val="31"/>
                <c:pt idx="0">
                  <c:v/>
                </c:pt>
                <c:pt idx="1">
                  <c:v>0.08</c:v>
                </c:pt>
                <c:pt idx="2">
                  <c:v>0.3</c:v>
                </c:pt>
                <c:pt idx="3">
                  <c:v>0.2713</c:v>
                </c:pt>
                <c:pt idx="4">
                  <c:v/>
                </c:pt>
                <c:pt idx="5">
                  <c:v>0.15</c:v>
                </c:pt>
                <c:pt idx="6">
                  <c:v>0.1</c:v>
                </c:pt>
                <c:pt idx="7">
                  <c:v>0.4</c:v>
                </c:pt>
                <c:pt idx="8">
                  <c:v>0.3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ser>
          <c:idx val="2"/>
          <c:order val="2"/>
          <c:tx>
            <c:strRef>
              <c:f>'Budynki komunalne'!$AM$6</c:f>
              <c:strCache>
                <c:ptCount val="1"/>
                <c:pt idx="0">
                  <c:v>LED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'Budynki komunalne'!$B$8:$B$38</c:f>
              <c:strCache>
                <c:ptCount val="31"/>
                <c:pt idx="0">
                  <c:v>Zespół Szkół w Lubczy</c:v>
                </c:pt>
                <c:pt idx="1">
                  <c:v>Szkoła Podstawowa im. Jana Pawła II</c:v>
                </c:pt>
                <c:pt idx="2">
                  <c:v>Publiczna Szkoła Podstawowa w Bistuszowej</c:v>
                </c:pt>
                <c:pt idx="3">
                  <c:v>Publiczne Gimnazjum nr 1 w Ryglicach wraz z halą sportową </c:v>
                </c:pt>
                <c:pt idx="4">
                  <c:v>Szkoła Podstawowa
im. Kardynała Stefana Wyszyńskiego</c:v>
                </c:pt>
                <c:pt idx="5">
                  <c:v>Szkoła Podstawowa w Woli Lubeckiej
</c:v>
                </c:pt>
                <c:pt idx="6">
                  <c:v>Zespół Szkolno-Przedszkolny w Zalasowej</c:v>
                </c:pt>
                <c:pt idx="7">
                  <c:v>Szkoła Podstawowa w Kowalowej</c:v>
                </c:pt>
                <c:pt idx="8">
                  <c:v>Kompleks sportowo - rekreacyjny Orlik 2012</c:v>
                </c:pt>
                <c:pt idx="9">
                  <c:v>Przedszkole</c:v>
                </c:pt>
                <c:pt idx="10">
                  <c:v>Urząd Miejski w Ryglicach</c:v>
                </c:pt>
                <c:pt idx="11">
                  <c:v>Budynek OSP w Ryglicach</c:v>
                </c:pt>
                <c:pt idx="12">
                  <c:v>Budynek ośrodka zdrowia w Ryglicach (użytkowo-mieszkalny)</c:v>
                </c:pt>
                <c:pt idx="13">
                  <c:v>Budynek starej szkoły (użytkowy)</c:v>
                </c:pt>
                <c:pt idx="14">
                  <c:v>Budynek "Sokół" (użytkowy)</c:v>
                </c:pt>
                <c:pt idx="15">
                  <c:v>Budynek Weterynarii (mieszkalny)</c:v>
                </c:pt>
                <c:pt idx="16">
                  <c:v>Budynek po ZGK (użytkowy)</c:v>
                </c:pt>
                <c:pt idx="17">
                  <c:v>Budynek "Brzezinki" (mieszkalny)</c:v>
                </c:pt>
                <c:pt idx="18">
                  <c:v>Budynek "Spichlerza" (użytkowy)</c:v>
                </c:pt>
                <c:pt idx="19">
                  <c:v>Budynek ośrodka zdrowia w Zalasowej (użytkowo-mieszkalny)</c:v>
                </c:pt>
                <c:pt idx="20">
                  <c:v>Stary budynek wielofunkcyjny (użytkowy)</c:v>
                </c:pt>
                <c:pt idx="21">
                  <c:v>Pałac pod Dębami (użytkowy)</c:v>
                </c:pt>
                <c:pt idx="22">
                  <c:v>Budynek Ośrodka Zdrowia w Lubczy (użytkowo-mieszkalny)</c:v>
                </c:pt>
                <c:pt idx="23">
                  <c:v>Stary budynek wielofunkcyjny tzw. "ochronka" (użytkowy)</c:v>
                </c:pt>
                <c:pt idx="24">
                  <c:v>Budynek socjalny (mieszkalny)</c:v>
                </c:pt>
                <c:pt idx="25">
                  <c:v>"Perła Lubczy" (użytkowy)</c:v>
                </c:pt>
                <c:pt idx="26">
                  <c:v>Budynek OSP w Kowalowej (remiza)</c:v>
                </c:pt>
                <c:pt idx="27">
                  <c:v>Budynek OSP w Joninach (remiza)</c:v>
                </c:pt>
                <c:pt idx="28">
                  <c:v>Budynek OSP w Woli Lubeckiej</c:v>
                </c:pt>
                <c:pt idx="29">
                  <c:v>Dworek w Uniszowej</c:v>
                </c:pt>
                <c:pt idx="30">
                  <c:v>Budynek ''po siostrach zakonnych''</c:v>
                </c:pt>
              </c:strCache>
            </c:strRef>
          </c:cat>
          <c:val>
            <c:numRef>
              <c:f>'Budynki komunalne'!$AM$8:$AM$38</c:f>
              <c:numCache>
                <c:formatCode>General</c:formatCode>
                <c:ptCount val="31"/>
                <c:pt idx="0">
                  <c:v/>
                </c:pt>
                <c:pt idx="1">
                  <c:v>0.1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0.1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gapWidth val="150"/>
        <c:shape val="cylinder"/>
        <c:axId val="27643233"/>
        <c:axId val="70761122"/>
        <c:axId val="0"/>
      </c:bar3DChart>
      <c:catAx>
        <c:axId val="276432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0761122"/>
        <c:crosses val="autoZero"/>
        <c:auto val="1"/>
        <c:lblAlgn val="ctr"/>
        <c:lblOffset val="100"/>
      </c:catAx>
      <c:valAx>
        <c:axId val="707611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7643233"/>
        <c:crosses val="autoZero"/>
        <c:majorUnit val="0.1"/>
      </c:valAx>
      <c:spPr>
        <a:noFill/>
        <a:ln w="9360">
          <a:solidFill>
            <a:srgbClr val="878787"/>
          </a:solidFill>
          <a:round/>
        </a:ln>
      </c:spPr>
    </c:plotArea>
    <c:legend>
      <c:legendPos val="r"/>
      <c:layout>
        <c:manualLayout>
          <c:xMode val="edge"/>
          <c:yMode val="edge"/>
          <c:x val="0.885746709856101"/>
          <c:y val="0.229431678406719"/>
        </c:manualLayout>
      </c:layout>
      <c:overlay val="0"/>
      <c:spPr>
        <a:noFill/>
        <a:ln>
          <a:noFill/>
        </a:ln>
      </c:spPr>
    </c:legend>
    <c:plotVisOnly val="0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39</xdr:col>
      <xdr:colOff>448920</xdr:colOff>
      <xdr:row>20</xdr:row>
      <xdr:rowOff>0</xdr:rowOff>
    </xdr:from>
    <xdr:to>
      <xdr:col>54</xdr:col>
      <xdr:colOff>108360</xdr:colOff>
      <xdr:row>38</xdr:row>
      <xdr:rowOff>533160</xdr:rowOff>
    </xdr:to>
    <xdr:graphicFrame>
      <xdr:nvGraphicFramePr>
        <xdr:cNvPr id="0" name="Wykres 3"/>
        <xdr:cNvGraphicFramePr/>
      </xdr:nvGraphicFramePr>
      <xdr:xfrm>
        <a:off x="54166680" y="10515600"/>
        <a:ext cx="9660600" cy="11934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5:G14" headerRowCount="1" totalsRowCount="0" totalsRowShown="0">
  <autoFilter ref="A5:G14"/>
  <tableColumns count="7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</tableColumns>
</table>
</file>

<file path=xl/tables/table10.xml><?xml version="1.0" encoding="utf-8"?>
<table xmlns="http://schemas.openxmlformats.org/spreadsheetml/2006/main" id="10" name="Tabela8" displayName="Tabela8" ref="A5:Y27" headerRowCount="1" totalsRowCount="0" totalsRowShown="0">
  <autoFilter ref="A5:Y27"/>
  <tableColumns count="25">
    <tableColumn id="1" name="Kolumna1"/>
    <tableColumn id="2" name="Kolumna2"/>
    <tableColumn id="3" name="Kolumna3"/>
    <tableColumn id="4" name="Kolumna4"/>
    <tableColumn id="5" name="Kolumna5"/>
    <tableColumn id="6" name="Kolumna52"/>
    <tableColumn id="7" name="Kolumna6"/>
    <tableColumn id="8" name="Kolumna7"/>
    <tableColumn id="9" name="Kolumna72"/>
    <tableColumn id="10" name="Kolumna8"/>
    <tableColumn id="11" name="Kolumna9"/>
    <tableColumn id="12" name="Kolumna92"/>
    <tableColumn id="13" name="Kolumna10"/>
    <tableColumn id="14" name="Kolumna11"/>
    <tableColumn id="15" name="Kolumna112"/>
    <tableColumn id="16" name="Kolumna12"/>
    <tableColumn id="17" name="Kolumna13"/>
    <tableColumn id="18" name="Kolumna14"/>
    <tableColumn id="19" name="Kolumna15"/>
    <tableColumn id="20" name="Kolumna152"/>
    <tableColumn id="21" name="Kolumna16"/>
    <tableColumn id="22" name="Kolumna17"/>
    <tableColumn id="23" name="Kolumna18"/>
    <tableColumn id="24" name="Kolumna20"/>
    <tableColumn id="25" name="Kolumna21"/>
  </tableColumns>
</table>
</file>

<file path=xl/tables/table11.xml><?xml version="1.0" encoding="utf-8"?>
<table xmlns="http://schemas.openxmlformats.org/spreadsheetml/2006/main" id="11" name="Tabela9" displayName="Tabela9" ref="Z5:AM27" headerRowCount="1" totalsRowCount="0" totalsRowShown="0">
  <autoFilter ref="Z5:AM27"/>
  <tableColumns count="14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</tableColumns>
</table>
</file>

<file path=xl/tables/table2.xml><?xml version="1.0" encoding="utf-8"?>
<table xmlns="http://schemas.openxmlformats.org/spreadsheetml/2006/main" id="2" name="Tabela10" displayName="Tabela10" ref="AN5:AQ27" headerRowCount="1" totalsRowCount="0" totalsRowShown="0">
  <autoFilter ref="AN5:AQ27"/>
  <tableColumns count="4">
    <tableColumn id="1" name="Kolumna1"/>
    <tableColumn id="2" name="Kolumna2"/>
    <tableColumn id="3" name="Kolumna3"/>
    <tableColumn id="4" name="Kolumna4"/>
  </tableColumns>
</table>
</file>

<file path=xl/tables/table3.xml><?xml version="1.0" encoding="utf-8"?>
<table xmlns="http://schemas.openxmlformats.org/spreadsheetml/2006/main" id="3" name="Tabela112" displayName="Tabela112" ref="A25:F30" headerRowCount="1" totalsRowCount="0" totalsRowShown="0">
  <autoFilter ref="A25:F30"/>
  <tableColumns count="6">
    <tableColumn id="1" name="Kolumna1"/>
    <tableColumn id="2" name="Kolumna2"/>
    <tableColumn id="3" name="Kolumna3"/>
    <tableColumn id="4" name="Kolumna4"/>
    <tableColumn id="5" name="Kolumna5"/>
    <tableColumn id="6" name="Kolumna6"/>
  </tableColumns>
</table>
</file>

<file path=xl/tables/table4.xml><?xml version="1.0" encoding="utf-8"?>
<table xmlns="http://schemas.openxmlformats.org/spreadsheetml/2006/main" id="4" name="Tabela4" displayName="Tabela4" ref="A7:Z38" headerRowCount="1" totalsRowCount="0" totalsRowShown="0">
  <autoFilter ref="A7:Z38"/>
  <tableColumns count="26">
    <tableColumn id="1" name="Kolumna1"/>
    <tableColumn id="2" name="Kolumna2"/>
    <tableColumn id="3" name="Kolumna3"/>
    <tableColumn id="4" name="Kolumna32"/>
    <tableColumn id="5" name="Kolumna4"/>
    <tableColumn id="6" name="Kolumna5"/>
    <tableColumn id="7" name="Kolumna52"/>
    <tableColumn id="8" name="Kolumna6"/>
    <tableColumn id="9" name="Kolumna62"/>
    <tableColumn id="10" name="Kolumna7"/>
    <tableColumn id="11" name="Kolumna72"/>
    <tableColumn id="12" name="Kolumna8"/>
    <tableColumn id="13" name="Kolumna82"/>
    <tableColumn id="14" name="Kolumna9"/>
    <tableColumn id="15" name="Kolumna10"/>
    <tableColumn id="16" name="Kolumna102"/>
    <tableColumn id="17" name="Kolumna103"/>
    <tableColumn id="18" name="Kolumna11"/>
    <tableColumn id="19" name="Kolumna112"/>
    <tableColumn id="20" name="Kolumna12"/>
    <tableColumn id="21" name="Kolumna13"/>
    <tableColumn id="22" name="Kolumna14"/>
    <tableColumn id="23" name="Kolumna142"/>
    <tableColumn id="24" name="Kolumna15"/>
    <tableColumn id="25" name="Kolumna16"/>
    <tableColumn id="26" name="Kolumna17"/>
  </tableColumns>
</table>
</file>

<file path=xl/tables/table5.xml><?xml version="1.0" encoding="utf-8"?>
<table xmlns="http://schemas.openxmlformats.org/spreadsheetml/2006/main" id="5" name="Tabela43" displayName="Tabela43" ref="A7:Z333" headerRowCount="1" totalsRowCount="0" totalsRowShown="0">
  <autoFilter ref="A7:Z333"/>
  <tableColumns count="26">
    <tableColumn id="1" name="Kolumna1"/>
    <tableColumn id="2" name="Kolumna2"/>
    <tableColumn id="3" name="Kolumna3"/>
    <tableColumn id="4" name="Kolumna32"/>
    <tableColumn id="5" name="Kolumna33"/>
    <tableColumn id="6" name="Kolumna332"/>
    <tableColumn id="7" name="Kolumna34"/>
    <tableColumn id="8" name="Kolumna5"/>
    <tableColumn id="9" name="Kolumna6"/>
    <tableColumn id="10" name="Kolumna7"/>
    <tableColumn id="11" name="Kolumna8"/>
    <tableColumn id="12" name="Kolumna85"/>
    <tableColumn id="13" name="Kolumna84"/>
    <tableColumn id="14" name="Kolumna82"/>
    <tableColumn id="15" name="Kolumna822"/>
    <tableColumn id="16" name="Kolumna83"/>
    <tableColumn id="17" name="Kolumna9"/>
    <tableColumn id="18" name="Kolumna92"/>
    <tableColumn id="19" name="Kolumna10"/>
    <tableColumn id="20" name="Kolumna11"/>
    <tableColumn id="21" name="Kolumna12"/>
    <tableColumn id="22" name="Kolumna122"/>
    <tableColumn id="23" name="Kolumna1222"/>
    <tableColumn id="24" name="Kolumna1223"/>
    <tableColumn id="25" name="Kolumna123"/>
    <tableColumn id="26" name="Kolumna125"/>
  </tableColumns>
</table>
</file>

<file path=xl/tables/table6.xml><?xml version="1.0" encoding="utf-8"?>
<table xmlns="http://schemas.openxmlformats.org/spreadsheetml/2006/main" id="6" name="Tabela5" displayName="Tabela5" ref="AA7:AJ38" headerRowCount="1" totalsRowCount="0" totalsRowShown="0">
  <autoFilter ref="AA7:AJ38"/>
  <tableColumns count="10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</tableColumns>
</table>
</file>

<file path=xl/tables/table7.xml><?xml version="1.0" encoding="utf-8"?>
<table xmlns="http://schemas.openxmlformats.org/spreadsheetml/2006/main" id="7" name="Tabela54" displayName="Tabela54" ref="AA7:AP333" headerRowCount="1" totalsRowCount="0" totalsRowShown="0">
  <autoFilter ref="AA7:AP333"/>
  <tableColumns count="16">
    <tableColumn id="1" name="Kolumna2"/>
    <tableColumn id="2" name="Kolumna22"/>
    <tableColumn id="3" name="Kolumna3"/>
    <tableColumn id="4" name="Kolumna23"/>
    <tableColumn id="5" name="Kolumna1"/>
    <tableColumn id="6" name="Kolumna12"/>
    <tableColumn id="7" name="Kolumna222"/>
    <tableColumn id="8" name="Kolumna223"/>
    <tableColumn id="9" name="Kolumna33"/>
    <tableColumn id="10" name="Kolumna34"/>
    <tableColumn id="11" name="Kolumna32"/>
    <tableColumn id="12" name="Kolumna322"/>
    <tableColumn id="13" name="Kolumna42"/>
    <tableColumn id="14" name="Kolumna5"/>
    <tableColumn id="15" name="Kolumna62"/>
    <tableColumn id="16" name="Kolumna63"/>
  </tableColumns>
</table>
</file>

<file path=xl/tables/table8.xml><?xml version="1.0" encoding="utf-8"?>
<table xmlns="http://schemas.openxmlformats.org/spreadsheetml/2006/main" id="8" name="Tabela6" displayName="Tabela6" ref="AQ7:AT333" headerRowCount="1" totalsRowCount="0" totalsRowShown="0">
  <autoFilter ref="AQ7:AT333"/>
  <tableColumns count="4">
    <tableColumn id="1" name="Kolumna1"/>
    <tableColumn id="2" name="Kolumna2"/>
    <tableColumn id="3" name="Kolumna3"/>
    <tableColumn id="4" name="Kolumna4"/>
  </tableColumns>
</table>
</file>

<file path=xl/tables/table9.xml><?xml version="1.0" encoding="utf-8"?>
<table xmlns="http://schemas.openxmlformats.org/spreadsheetml/2006/main" id="9" name="Tabela7" displayName="Tabela7" ref="AK7:AM38" headerRowCount="1" totalsRowCount="0" totalsRowShown="0">
  <autoFilter ref="AK7:AM38"/>
  <tableColumns count="3">
    <tableColumn id="1" name="Kolumna1"/>
    <tableColumn id="2" name="Kolumna2"/>
    <tableColumn id="3" name="Kolumna3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4.xml"/><Relationship Id="rId3" Type="http://schemas.openxmlformats.org/officeDocument/2006/relationships/table" Target="../tables/table6.xml"/><Relationship Id="rId4" Type="http://schemas.openxmlformats.org/officeDocument/2006/relationships/table" Target="../tables/table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5.xml"/><Relationship Id="rId2" Type="http://schemas.openxmlformats.org/officeDocument/2006/relationships/table" Target="../tables/table7.xml"/><Relationship Id="rId3" Type="http://schemas.openxmlformats.org/officeDocument/2006/relationships/table" Target="../tables/table8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2.xml"/><Relationship Id="rId2" Type="http://schemas.openxmlformats.org/officeDocument/2006/relationships/table" Target="../tables/table10.xml"/><Relationship Id="rId3" Type="http://schemas.openxmlformats.org/officeDocument/2006/relationships/table" Target="../tables/table1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U47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pane xSplit="3" ySplit="4" topLeftCell="T37" activePane="bottomRight" state="frozen"/>
      <selection pane="topLeft" activeCell="A3" activeCellId="0" sqref="A3"/>
      <selection pane="topRight" activeCell="T3" activeCellId="0" sqref="T3"/>
      <selection pane="bottomLeft" activeCell="A37" activeCellId="0" sqref="A37"/>
      <selection pane="bottomRight" activeCell="T24" activeCellId="0" sqref="T24"/>
    </sheetView>
  </sheetViews>
  <sheetFormatPr defaultRowHeight="14.25" zeroHeight="false" outlineLevelRow="0" outlineLevelCol="0"/>
  <cols>
    <col collapsed="false" customWidth="false" hidden="false" outlineLevel="0" max="1" min="1" style="1" width="11.5"/>
    <col collapsed="false" customWidth="true" hidden="false" outlineLevel="0" max="2" min="2" style="2" width="29.87"/>
    <col collapsed="false" customWidth="true" hidden="false" outlineLevel="0" max="3" min="3" style="0" width="30.38"/>
    <col collapsed="false" customWidth="true" hidden="false" outlineLevel="0" max="4" min="4" style="3" width="28.87"/>
    <col collapsed="false" customWidth="true" hidden="false" outlineLevel="0" max="5" min="5" style="0" width="20.5"/>
    <col collapsed="false" customWidth="true" hidden="false" outlineLevel="0" max="7" min="6" style="0" width="16.25"/>
    <col collapsed="false" customWidth="true" hidden="false" outlineLevel="0" max="9" min="8" style="0" width="10.5"/>
    <col collapsed="false" customWidth="true" hidden="false" outlineLevel="0" max="11" min="10" style="0" width="17.38"/>
    <col collapsed="false" customWidth="true" hidden="false" outlineLevel="0" max="13" min="12" style="0" width="15.51"/>
    <col collapsed="false" customWidth="true" hidden="false" outlineLevel="0" max="14" min="14" style="0" width="15"/>
    <col collapsed="false" customWidth="true" hidden="false" outlineLevel="0" max="15" min="15" style="0" width="15.51"/>
    <col collapsed="false" customWidth="true" hidden="false" outlineLevel="0" max="17" min="16" style="0" width="12"/>
    <col collapsed="false" customWidth="true" hidden="false" outlineLevel="0" max="18" min="18" style="0" width="15"/>
    <col collapsed="false" customWidth="true" hidden="false" outlineLevel="0" max="19" min="19" style="0" width="18.5"/>
    <col collapsed="false" customWidth="true" hidden="false" outlineLevel="0" max="20" min="20" style="0" width="20.5"/>
    <col collapsed="false" customWidth="true" hidden="false" outlineLevel="0" max="21" min="21" style="0" width="30.25"/>
    <col collapsed="false" customWidth="true" hidden="true" outlineLevel="0" max="22" min="22" style="0" width="12.13"/>
    <col collapsed="false" customWidth="true" hidden="false" outlineLevel="0" max="23" min="23" style="0" width="12.13"/>
    <col collapsed="false" customWidth="true" hidden="false" outlineLevel="0" max="24" min="24" style="2" width="14.13"/>
    <col collapsed="false" customWidth="true" hidden="false" outlineLevel="0" max="25" min="25" style="2" width="18.26"/>
    <col collapsed="false" customWidth="true" hidden="false" outlineLevel="0" max="26" min="26" style="2" width="16.25"/>
    <col collapsed="false" customWidth="true" hidden="false" outlineLevel="0" max="27" min="27" style="0" width="22.87"/>
    <col collapsed="false" customWidth="true" hidden="false" outlineLevel="0" max="28" min="28" style="0" width="20.75"/>
    <col collapsed="false" customWidth="true" hidden="false" outlineLevel="0" max="29" min="29" style="0" width="21.5"/>
    <col collapsed="false" customWidth="true" hidden="false" outlineLevel="0" max="30" min="30" style="0" width="21.38"/>
    <col collapsed="false" customWidth="true" hidden="false" outlineLevel="0" max="31" min="31" style="0" width="28.26"/>
    <col collapsed="false" customWidth="true" hidden="false" outlineLevel="0" max="32" min="32" style="0" width="20.62"/>
    <col collapsed="false" customWidth="true" hidden="false" outlineLevel="0" max="33" min="33" style="0" width="20.87"/>
    <col collapsed="false" customWidth="true" hidden="false" outlineLevel="0" max="34" min="34" style="0" width="18.12"/>
    <col collapsed="false" customWidth="true" hidden="false" outlineLevel="0" max="35" min="35" style="0" width="27.5"/>
    <col collapsed="false" customWidth="true" hidden="false" outlineLevel="0" max="36" min="36" style="0" width="19.62"/>
    <col collapsed="false" customWidth="true" hidden="false" outlineLevel="0" max="39" min="37" style="0" width="10.87"/>
    <col collapsed="false" customWidth="true" hidden="false" outlineLevel="0" max="1025" min="40" style="0" width="8.61"/>
  </cols>
  <sheetData>
    <row r="1" customFormat="false" ht="15" hidden="false" customHeight="false" outlineLevel="0" collapsed="false"/>
    <row r="2" customFormat="false" ht="16.5" hidden="false" customHeight="false" outlineLevel="0" collapsed="false">
      <c r="A2" s="4" t="s">
        <v>0</v>
      </c>
      <c r="B2" s="5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9.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="2" customFormat="true" ht="16.5" hidden="false" customHeight="true" outlineLevel="0" collapsed="false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/>
      <c r="H4" s="8"/>
      <c r="I4" s="8"/>
      <c r="J4" s="8"/>
      <c r="K4" s="8"/>
      <c r="L4" s="8"/>
      <c r="M4" s="8"/>
      <c r="N4" s="8"/>
      <c r="O4" s="10"/>
      <c r="P4" s="11"/>
      <c r="Q4" s="11"/>
      <c r="R4" s="11"/>
      <c r="S4" s="11"/>
      <c r="T4" s="11"/>
      <c r="U4" s="8" t="s">
        <v>8</v>
      </c>
      <c r="V4" s="8" t="s">
        <v>9</v>
      </c>
      <c r="W4" s="8" t="s">
        <v>10</v>
      </c>
      <c r="X4" s="8" t="s">
        <v>11</v>
      </c>
      <c r="Y4" s="8" t="s">
        <v>12</v>
      </c>
      <c r="Z4" s="8" t="s">
        <v>13</v>
      </c>
    </row>
    <row r="5" s="2" customFormat="true" ht="42.75" hidden="false" customHeight="true" outlineLevel="0" collapsed="false">
      <c r="A5" s="8"/>
      <c r="B5" s="8"/>
      <c r="C5" s="8"/>
      <c r="D5" s="9"/>
      <c r="E5" s="8"/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17</v>
      </c>
      <c r="M5" s="8"/>
      <c r="N5" s="5" t="s">
        <v>18</v>
      </c>
      <c r="O5" s="12" t="s">
        <v>19</v>
      </c>
      <c r="P5" s="12"/>
      <c r="Q5" s="13"/>
      <c r="R5" s="5" t="s">
        <v>20</v>
      </c>
      <c r="S5" s="5" t="s">
        <v>21</v>
      </c>
      <c r="T5" s="5" t="s">
        <v>22</v>
      </c>
      <c r="U5" s="8"/>
      <c r="V5" s="8"/>
      <c r="W5" s="8"/>
      <c r="X5" s="8"/>
      <c r="Y5" s="8"/>
      <c r="Z5" s="8"/>
      <c r="AA5" s="14" t="s">
        <v>23</v>
      </c>
      <c r="AB5" s="14"/>
      <c r="AC5" s="14"/>
      <c r="AD5" s="14"/>
      <c r="AE5" s="14"/>
      <c r="AF5" s="14"/>
      <c r="AG5" s="14"/>
      <c r="AH5" s="14"/>
      <c r="AI5" s="15" t="s">
        <v>24</v>
      </c>
      <c r="AJ5" s="15"/>
      <c r="AK5" s="16" t="s">
        <v>25</v>
      </c>
      <c r="AL5" s="16"/>
      <c r="AM5" s="16"/>
    </row>
    <row r="6" s="2" customFormat="true" ht="30.75" hidden="false" customHeight="false" outlineLevel="0" collapsed="false">
      <c r="A6" s="8"/>
      <c r="B6" s="8"/>
      <c r="C6" s="8"/>
      <c r="D6" s="9"/>
      <c r="E6" s="5" t="s">
        <v>26</v>
      </c>
      <c r="F6" s="5" t="s">
        <v>27</v>
      </c>
      <c r="G6" s="5" t="s">
        <v>26</v>
      </c>
      <c r="H6" s="5" t="s">
        <v>28</v>
      </c>
      <c r="I6" s="5" t="s">
        <v>26</v>
      </c>
      <c r="J6" s="5" t="s">
        <v>29</v>
      </c>
      <c r="K6" s="5" t="s">
        <v>26</v>
      </c>
      <c r="L6" s="5" t="s">
        <v>29</v>
      </c>
      <c r="M6" s="5" t="s">
        <v>26</v>
      </c>
      <c r="N6" s="5"/>
      <c r="O6" s="5" t="s">
        <v>28</v>
      </c>
      <c r="P6" s="5" t="s">
        <v>27</v>
      </c>
      <c r="Q6" s="5" t="s">
        <v>26</v>
      </c>
      <c r="R6" s="5" t="s">
        <v>26</v>
      </c>
      <c r="S6" s="5" t="s">
        <v>26</v>
      </c>
      <c r="T6" s="5" t="s">
        <v>26</v>
      </c>
      <c r="U6" s="8"/>
      <c r="V6" s="8"/>
      <c r="W6" s="5" t="s">
        <v>28</v>
      </c>
      <c r="X6" s="5" t="s">
        <v>30</v>
      </c>
      <c r="Y6" s="8"/>
      <c r="Z6" s="5" t="s">
        <v>31</v>
      </c>
      <c r="AA6" s="17" t="s">
        <v>32</v>
      </c>
      <c r="AB6" s="17" t="s">
        <v>33</v>
      </c>
      <c r="AC6" s="17" t="s">
        <v>34</v>
      </c>
      <c r="AD6" s="17" t="s">
        <v>35</v>
      </c>
      <c r="AE6" s="17" t="s">
        <v>36</v>
      </c>
      <c r="AF6" s="17" t="s">
        <v>37</v>
      </c>
      <c r="AG6" s="17" t="s">
        <v>38</v>
      </c>
      <c r="AH6" s="17" t="s">
        <v>39</v>
      </c>
      <c r="AI6" s="17" t="s">
        <v>40</v>
      </c>
      <c r="AJ6" s="17" t="s">
        <v>41</v>
      </c>
      <c r="AK6" s="18" t="s">
        <v>42</v>
      </c>
      <c r="AL6" s="18" t="s">
        <v>43</v>
      </c>
      <c r="AM6" s="18" t="s">
        <v>44</v>
      </c>
    </row>
    <row r="7" s="2" customFormat="true" ht="15.75" hidden="false" customHeight="false" outlineLevel="0" collapsed="false">
      <c r="A7" s="19" t="s">
        <v>45</v>
      </c>
      <c r="B7" s="20" t="s">
        <v>46</v>
      </c>
      <c r="C7" s="21" t="s">
        <v>47</v>
      </c>
      <c r="D7" s="22" t="s">
        <v>48</v>
      </c>
      <c r="E7" s="21" t="s">
        <v>49</v>
      </c>
      <c r="F7" s="23" t="s">
        <v>50</v>
      </c>
      <c r="G7" s="23" t="s">
        <v>51</v>
      </c>
      <c r="H7" s="21" t="s">
        <v>52</v>
      </c>
      <c r="I7" s="21" t="s">
        <v>53</v>
      </c>
      <c r="J7" s="23" t="s">
        <v>54</v>
      </c>
      <c r="K7" s="23" t="s">
        <v>55</v>
      </c>
      <c r="L7" s="23" t="s">
        <v>56</v>
      </c>
      <c r="M7" s="23" t="s">
        <v>57</v>
      </c>
      <c r="N7" s="23" t="s">
        <v>58</v>
      </c>
      <c r="O7" s="23" t="s">
        <v>59</v>
      </c>
      <c r="P7" s="23" t="s">
        <v>60</v>
      </c>
      <c r="Q7" s="23" t="s">
        <v>61</v>
      </c>
      <c r="R7" s="23" t="s">
        <v>62</v>
      </c>
      <c r="S7" s="23" t="s">
        <v>63</v>
      </c>
      <c r="T7" s="23" t="s">
        <v>64</v>
      </c>
      <c r="U7" s="21" t="s">
        <v>65</v>
      </c>
      <c r="V7" s="21" t="s">
        <v>66</v>
      </c>
      <c r="W7" s="21" t="s">
        <v>67</v>
      </c>
      <c r="X7" s="21" t="s">
        <v>68</v>
      </c>
      <c r="Y7" s="23" t="s">
        <v>69</v>
      </c>
      <c r="Z7" s="23" t="s">
        <v>70</v>
      </c>
      <c r="AA7" s="23" t="s">
        <v>45</v>
      </c>
      <c r="AB7" s="23" t="s">
        <v>46</v>
      </c>
      <c r="AC7" s="23" t="s">
        <v>47</v>
      </c>
      <c r="AD7" s="23" t="s">
        <v>49</v>
      </c>
      <c r="AE7" s="23" t="s">
        <v>50</v>
      </c>
      <c r="AF7" s="23" t="s">
        <v>52</v>
      </c>
      <c r="AG7" s="23" t="s">
        <v>54</v>
      </c>
      <c r="AH7" s="23" t="s">
        <v>56</v>
      </c>
      <c r="AI7" s="23" t="s">
        <v>58</v>
      </c>
      <c r="AJ7" s="23" t="s">
        <v>59</v>
      </c>
      <c r="AK7" s="23" t="s">
        <v>45</v>
      </c>
      <c r="AL7" s="23" t="s">
        <v>46</v>
      </c>
      <c r="AM7" s="23" t="s">
        <v>47</v>
      </c>
    </row>
    <row r="8" customFormat="false" ht="70.5" hidden="false" customHeight="true" outlineLevel="0" collapsed="false">
      <c r="A8" s="24" t="n">
        <v>1</v>
      </c>
      <c r="B8" s="25" t="s">
        <v>71</v>
      </c>
      <c r="C8" s="25" t="s">
        <v>72</v>
      </c>
      <c r="D8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39.4098454377946</v>
      </c>
      <c r="E8" s="24" t="n">
        <v>46454</v>
      </c>
      <c r="F8" s="24"/>
      <c r="G8" s="26" t="n">
        <f aca="false">Tabela4[[#This Row],[Kolumna5]]*20700*0.27778</f>
        <v>0</v>
      </c>
      <c r="H8" s="24" t="n">
        <v>8878</v>
      </c>
      <c r="I8" s="26" t="n">
        <f aca="false">Tabela4[[#This Row],[Kolumna6]]*35.94*0.27778</f>
        <v>88632.7423896</v>
      </c>
      <c r="J8" s="24"/>
      <c r="K8" s="24" t="n">
        <f aca="false">Tabela4[[#This Row],[Kolumna7]]*6.96</f>
        <v>0</v>
      </c>
      <c r="L8" s="27"/>
      <c r="M8" s="28" t="n">
        <f aca="false">Tabela4[[#This Row],[Kolumna8]]*0.000843882*40190*0.27778</f>
        <v>0</v>
      </c>
      <c r="N8" s="27"/>
      <c r="O8" s="24"/>
      <c r="P8" s="29" t="n">
        <f aca="false">Tabela4[[#This Row],[Kolumna10]]*0.65</f>
        <v>0</v>
      </c>
      <c r="Q8" s="26" t="n">
        <f aca="false">Tabela4[[#This Row],[Kolumna102]]*15600*0.27778</f>
        <v>0</v>
      </c>
      <c r="R8" s="27"/>
      <c r="S8" s="27"/>
      <c r="T8" s="27"/>
      <c r="U8" s="24" t="n">
        <v>1967</v>
      </c>
      <c r="V8" s="24"/>
      <c r="W8" s="24" t="n">
        <v>12357</v>
      </c>
      <c r="X8" s="26" t="n">
        <v>2249</v>
      </c>
      <c r="Y8" s="24" t="n">
        <v>400</v>
      </c>
      <c r="Z8" s="24" t="s">
        <v>73</v>
      </c>
      <c r="AA8" s="27" t="s">
        <v>74</v>
      </c>
      <c r="AB8" s="24" t="s">
        <v>75</v>
      </c>
      <c r="AC8" s="24" t="s">
        <v>75</v>
      </c>
      <c r="AD8" s="24" t="s">
        <v>75</v>
      </c>
      <c r="AE8" s="24" t="s">
        <v>75</v>
      </c>
      <c r="AF8" s="24" t="s">
        <v>75</v>
      </c>
      <c r="AG8" s="24" t="s">
        <v>75</v>
      </c>
      <c r="AH8" s="24" t="s">
        <v>75</v>
      </c>
      <c r="AI8" s="30" t="s">
        <v>76</v>
      </c>
      <c r="AJ8" s="27"/>
      <c r="AK8" s="31" t="n">
        <v>0.98</v>
      </c>
      <c r="AL8" s="31"/>
      <c r="AM8" s="32"/>
    </row>
    <row r="9" customFormat="false" ht="41.25" hidden="false" customHeight="true" outlineLevel="0" collapsed="false">
      <c r="A9" s="24" t="n">
        <v>2</v>
      </c>
      <c r="B9" s="25" t="s">
        <v>77</v>
      </c>
      <c r="C9" s="25" t="s">
        <v>78</v>
      </c>
      <c r="D9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184.968091864025</v>
      </c>
      <c r="E9" s="24" t="n">
        <v>6700</v>
      </c>
      <c r="F9" s="33"/>
      <c r="G9" s="26" t="n">
        <f aca="false">Tabela4[[#This Row],[Kolumna5]]*20700*0.27778</f>
        <v>0</v>
      </c>
      <c r="H9" s="24" t="n">
        <v>10192</v>
      </c>
      <c r="I9" s="26" t="n">
        <f aca="false">Tabela4[[#This Row],[Kolumna6]]*35.94*0.27778</f>
        <v>101750.9473344</v>
      </c>
      <c r="J9" s="24"/>
      <c r="K9" s="24" t="n">
        <f aca="false">Tabela4[[#This Row],[Kolumna7]]*6.96</f>
        <v>0</v>
      </c>
      <c r="L9" s="24"/>
      <c r="M9" s="28" t="n">
        <f aca="false">Tabela4[[#This Row],[Kolumna8]]*0.000843882*40190*0.27778</f>
        <v>0</v>
      </c>
      <c r="N9" s="24"/>
      <c r="O9" s="24"/>
      <c r="P9" s="29" t="n">
        <f aca="false">Tabela4[[#This Row],[Kolumna10]]*0.65</f>
        <v>0</v>
      </c>
      <c r="Q9" s="26" t="n">
        <f aca="false">Tabela4[[#This Row],[Kolumna102]]*15600*0.27778</f>
        <v>0</v>
      </c>
      <c r="R9" s="24"/>
      <c r="S9" s="24"/>
      <c r="T9" s="24"/>
      <c r="U9" s="24" t="n">
        <v>1954</v>
      </c>
      <c r="V9" s="24"/>
      <c r="W9" s="24" t="n">
        <v>5019.6</v>
      </c>
      <c r="X9" s="26" t="n">
        <v>550.1</v>
      </c>
      <c r="Y9" s="24" t="n">
        <v>70</v>
      </c>
      <c r="Z9" s="24" t="s">
        <v>73</v>
      </c>
      <c r="AA9" s="24" t="s">
        <v>75</v>
      </c>
      <c r="AB9" s="24" t="s">
        <v>79</v>
      </c>
      <c r="AC9" s="24" t="s">
        <v>80</v>
      </c>
      <c r="AD9" s="24" t="s">
        <v>75</v>
      </c>
      <c r="AE9" s="24" t="s">
        <v>80</v>
      </c>
      <c r="AF9" s="24" t="s">
        <v>75</v>
      </c>
      <c r="AG9" s="24" t="s">
        <v>80</v>
      </c>
      <c r="AH9" s="27" t="s">
        <v>80</v>
      </c>
      <c r="AI9" s="27" t="s">
        <v>81</v>
      </c>
      <c r="AJ9" s="27" t="s">
        <v>82</v>
      </c>
      <c r="AK9" s="31" t="n">
        <v>0.82</v>
      </c>
      <c r="AL9" s="31" t="n">
        <v>0.08</v>
      </c>
      <c r="AM9" s="32" t="n">
        <v>0.1</v>
      </c>
    </row>
    <row r="10" customFormat="false" ht="49.5" hidden="false" customHeight="true" outlineLevel="0" collapsed="false">
      <c r="A10" s="24" t="n">
        <v>3</v>
      </c>
      <c r="B10" s="25" t="s">
        <v>83</v>
      </c>
      <c r="C10" s="25" t="s">
        <v>84</v>
      </c>
      <c r="D10" s="26" t="n">
        <f aca="false">SUM(Tabela4[[#This Row],[Kolumna52]],Tabela4[[#This Row],[Kolumna62]],Tabela4[[#This Row],[Kolumna82]],Tabela4[[#This Row],[Kolumna103]],Tabela4[[#This Row],[Kolumna11]],Tabela4[[#This Row],[Kolumna112]],Tabela4[[#This Row],[Kolumna12]],Tabela4[[#This Row],[Kolumna72]])/Tabela4[[#This Row],[Kolumna15]]</f>
        <v>94.1825755946304</v>
      </c>
      <c r="E10" s="24" t="n">
        <v>14594</v>
      </c>
      <c r="F10" s="33"/>
      <c r="G10" s="26" t="n">
        <f aca="false">Tabela4[[#This Row],[Kolumna5]]*20700*0.27778</f>
        <v>0</v>
      </c>
      <c r="H10" s="34" t="n">
        <v>9389</v>
      </c>
      <c r="I10" s="26" t="n">
        <f aca="false">Tabela4[[#This Row],[Kolumna6]]*35.94*0.27778</f>
        <v>93734.2665348</v>
      </c>
      <c r="J10" s="24"/>
      <c r="K10" s="24" t="n">
        <f aca="false">Tabela4[[#This Row],[Kolumna7]]*6.96</f>
        <v>0</v>
      </c>
      <c r="L10" s="24"/>
      <c r="M10" s="28" t="n">
        <f aca="false">Tabela4[[#This Row],[Kolumna8]]*0.000843882*40190*0.27778</f>
        <v>0</v>
      </c>
      <c r="N10" s="24"/>
      <c r="O10" s="24"/>
      <c r="P10" s="29" t="n">
        <f aca="false">Tabela4[[#This Row],[Kolumna10]]*0.65</f>
        <v>0</v>
      </c>
      <c r="Q10" s="26" t="n">
        <f aca="false">Tabela4[[#This Row],[Kolumna102]]*15600*0.27778</f>
        <v>0</v>
      </c>
      <c r="R10" s="24"/>
      <c r="S10" s="24"/>
      <c r="T10" s="24"/>
      <c r="U10" s="24" t="s">
        <v>85</v>
      </c>
      <c r="V10" s="24"/>
      <c r="W10" s="24" t="n">
        <v>2985.7</v>
      </c>
      <c r="X10" s="26" t="n">
        <v>995.24</v>
      </c>
      <c r="Y10" s="24" t="n">
        <v>140</v>
      </c>
      <c r="Z10" s="24" t="s">
        <v>86</v>
      </c>
      <c r="AA10" s="27" t="s">
        <v>87</v>
      </c>
      <c r="AB10" s="27" t="s">
        <v>87</v>
      </c>
      <c r="AC10" s="24" t="s">
        <v>88</v>
      </c>
      <c r="AD10" s="24" t="s">
        <v>75</v>
      </c>
      <c r="AE10" s="24" t="s">
        <v>75</v>
      </c>
      <c r="AF10" s="24" t="s">
        <v>75</v>
      </c>
      <c r="AG10" s="24" t="s">
        <v>75</v>
      </c>
      <c r="AH10" s="24" t="s">
        <v>75</v>
      </c>
      <c r="AI10" s="27" t="s">
        <v>89</v>
      </c>
      <c r="AJ10" s="27" t="s">
        <v>73</v>
      </c>
      <c r="AK10" s="31" t="n">
        <v>0.7</v>
      </c>
      <c r="AL10" s="31" t="n">
        <v>0.3</v>
      </c>
      <c r="AM10" s="32"/>
    </row>
    <row r="11" customFormat="false" ht="44.25" hidden="false" customHeight="true" outlineLevel="0" collapsed="false">
      <c r="A11" s="24" t="n">
        <v>4</v>
      </c>
      <c r="B11" s="25" t="s">
        <v>90</v>
      </c>
      <c r="C11" s="35" t="s">
        <v>91</v>
      </c>
      <c r="D11" s="26" t="n">
        <f aca="false">SUM(Tabela4[[#This Row],[Kolumna52]],Tabela4[[#This Row],[Kolumna62]],Tabela4[[#This Row],[Kolumna82]],Tabela4[[#This Row],[Kolumna103]],Tabela4[[#This Row],[Kolumna11]],Tabela4[[#This Row],[Kolumna112]],Tabela4[[#This Row],[Kolumna12]],Tabela4[[#This Row],[Kolumna72]])/Tabela4[[#This Row],[Kolumna15]]</f>
        <v>126.168250117328</v>
      </c>
      <c r="E11" s="24" t="n">
        <v>61142</v>
      </c>
      <c r="F11" s="33"/>
      <c r="G11" s="26" t="n">
        <f aca="false">Tabela4[[#This Row],[Kolumna5]]*20700*0.27778</f>
        <v>0</v>
      </c>
      <c r="H11" s="24" t="n">
        <v>36321</v>
      </c>
      <c r="I11" s="26" t="n">
        <f aca="false">Tabela4[[#This Row],[Kolumna6]]*35.94*0.27778</f>
        <v>362607.5508372</v>
      </c>
      <c r="J11" s="24"/>
      <c r="K11" s="24" t="n">
        <f aca="false">Tabela4[[#This Row],[Kolumna7]]*6.96</f>
        <v>0</v>
      </c>
      <c r="L11" s="24"/>
      <c r="M11" s="28" t="n">
        <f aca="false">Tabela4[[#This Row],[Kolumna8]]*0.000843882*40190*0.27778</f>
        <v>0</v>
      </c>
      <c r="N11" s="24"/>
      <c r="O11" s="24"/>
      <c r="P11" s="29" t="n">
        <f aca="false">Tabela4[[#This Row],[Kolumna10]]*0.65</f>
        <v>0</v>
      </c>
      <c r="Q11" s="26" t="n">
        <f aca="false">Tabela4[[#This Row],[Kolumna102]]*15600*0.27778</f>
        <v>0</v>
      </c>
      <c r="R11" s="29"/>
      <c r="S11" s="29"/>
      <c r="T11" s="24"/>
      <c r="U11" s="24" t="n">
        <v>2001</v>
      </c>
      <c r="V11" s="24"/>
      <c r="W11" s="33" t="n">
        <v>9015</v>
      </c>
      <c r="X11" s="26" t="n">
        <v>2874</v>
      </c>
      <c r="Y11" s="24" t="n">
        <v>212</v>
      </c>
      <c r="Z11" s="27" t="s">
        <v>86</v>
      </c>
      <c r="AA11" s="27" t="s">
        <v>87</v>
      </c>
      <c r="AB11" s="27" t="s">
        <v>87</v>
      </c>
      <c r="AC11" s="27" t="s">
        <v>87</v>
      </c>
      <c r="AD11" s="24" t="s">
        <v>75</v>
      </c>
      <c r="AE11" s="24" t="s">
        <v>75</v>
      </c>
      <c r="AF11" s="27" t="s">
        <v>87</v>
      </c>
      <c r="AG11" s="27" t="s">
        <v>87</v>
      </c>
      <c r="AH11" s="24" t="s">
        <v>75</v>
      </c>
      <c r="AI11" s="36" t="s">
        <v>86</v>
      </c>
      <c r="AJ11" s="36" t="s">
        <v>86</v>
      </c>
      <c r="AK11" s="31" t="n">
        <v>0.7287</v>
      </c>
      <c r="AL11" s="31" t="n">
        <v>0.2713</v>
      </c>
      <c r="AM11" s="32"/>
    </row>
    <row r="12" customFormat="false" ht="47.25" hidden="false" customHeight="true" outlineLevel="0" collapsed="false">
      <c r="A12" s="24" t="n">
        <v>5</v>
      </c>
      <c r="B12" s="25" t="s">
        <v>92</v>
      </c>
      <c r="C12" s="25" t="s">
        <v>93</v>
      </c>
      <c r="D12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12" s="33"/>
      <c r="F12" s="24"/>
      <c r="G12" s="26" t="n">
        <f aca="false">Tabela4[[#This Row],[Kolumna5]]*20700*0.27778</f>
        <v>0</v>
      </c>
      <c r="H12" s="33"/>
      <c r="I12" s="26" t="n">
        <f aca="false">Tabela4[[#This Row],[Kolumna6]]*35.94*0.27778</f>
        <v>0</v>
      </c>
      <c r="J12" s="24"/>
      <c r="K12" s="24" t="n">
        <f aca="false">Tabela4[[#This Row],[Kolumna7]]*6.96</f>
        <v>0</v>
      </c>
      <c r="L12" s="24"/>
      <c r="M12" s="28" t="n">
        <f aca="false">Tabela4[[#This Row],[Kolumna8]]*0.000843882*40190*0.27778</f>
        <v>0</v>
      </c>
      <c r="N12" s="24"/>
      <c r="O12" s="24"/>
      <c r="P12" s="29" t="n">
        <f aca="false">Tabela4[[#This Row],[Kolumna10]]*0.65</f>
        <v>0</v>
      </c>
      <c r="Q12" s="26" t="n">
        <f aca="false">Tabela4[[#This Row],[Kolumna102]]*15600*0.27778</f>
        <v>0</v>
      </c>
      <c r="R12" s="24"/>
      <c r="S12" s="24"/>
      <c r="T12" s="24"/>
      <c r="U12" s="24" t="n">
        <v>2002</v>
      </c>
      <c r="V12" s="24"/>
      <c r="W12" s="26" t="n">
        <v>13215.01</v>
      </c>
      <c r="X12" s="26" t="n">
        <v>1120.31</v>
      </c>
      <c r="Y12" s="24" t="n">
        <v>41</v>
      </c>
      <c r="Z12" s="27" t="s">
        <v>73</v>
      </c>
      <c r="AA12" s="27" t="s">
        <v>94</v>
      </c>
      <c r="AB12" s="27" t="s">
        <v>94</v>
      </c>
      <c r="AC12" s="27" t="s">
        <v>94</v>
      </c>
      <c r="AD12" s="27" t="s">
        <v>94</v>
      </c>
      <c r="AE12" s="27" t="s">
        <v>94</v>
      </c>
      <c r="AF12" s="27" t="s">
        <v>94</v>
      </c>
      <c r="AG12" s="27" t="s">
        <v>94</v>
      </c>
      <c r="AH12" s="27" t="s">
        <v>95</v>
      </c>
      <c r="AI12" s="27" t="s">
        <v>73</v>
      </c>
      <c r="AJ12" s="24" t="s">
        <v>73</v>
      </c>
      <c r="AK12" s="31" t="n">
        <v>1</v>
      </c>
      <c r="AL12" s="31"/>
      <c r="AM12" s="32"/>
    </row>
    <row r="13" customFormat="false" ht="42.75" hidden="false" customHeight="true" outlineLevel="0" collapsed="false">
      <c r="A13" s="24" t="n">
        <v>6</v>
      </c>
      <c r="B13" s="37" t="s">
        <v>96</v>
      </c>
      <c r="C13" s="25" t="s">
        <v>97</v>
      </c>
      <c r="D13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80.8442538917143</v>
      </c>
      <c r="E13" s="24" t="n">
        <v>14938</v>
      </c>
      <c r="F13" s="24"/>
      <c r="G13" s="26" t="n">
        <f aca="false">Tabela4[[#This Row],[Kolumna5]]*20700*0.27778</f>
        <v>0</v>
      </c>
      <c r="H13" s="24" t="n">
        <v>11337</v>
      </c>
      <c r="I13" s="26" t="n">
        <f aca="false">Tabela4[[#This Row],[Kolumna6]]*35.94*0.27778</f>
        <v>113181.9554484</v>
      </c>
      <c r="J13" s="24"/>
      <c r="K13" s="24" t="n">
        <f aca="false">Tabela4[[#This Row],[Kolumna7]]*6.96</f>
        <v>0</v>
      </c>
      <c r="L13" s="24"/>
      <c r="M13" s="28" t="n">
        <f aca="false">Tabela4[[#This Row],[Kolumna8]]*0.000843882*40190*0.27778</f>
        <v>0</v>
      </c>
      <c r="N13" s="24"/>
      <c r="O13" s="24"/>
      <c r="P13" s="29" t="n">
        <f aca="false">Tabela4[[#This Row],[Kolumna10]]*0.65</f>
        <v>0</v>
      </c>
      <c r="Q13" s="26" t="n">
        <f aca="false">Tabela4[[#This Row],[Kolumna102]]*15600*0.27778</f>
        <v>0</v>
      </c>
      <c r="R13" s="24"/>
      <c r="S13" s="24"/>
      <c r="T13" s="24"/>
      <c r="U13" s="33" t="n">
        <v>1999</v>
      </c>
      <c r="V13" s="24"/>
      <c r="W13" s="26" t="n">
        <v>5088</v>
      </c>
      <c r="X13" s="38" t="n">
        <v>1400</v>
      </c>
      <c r="Y13" s="27"/>
      <c r="Z13" s="24" t="s">
        <v>73</v>
      </c>
      <c r="AA13" s="24" t="s">
        <v>75</v>
      </c>
      <c r="AB13" s="24" t="s">
        <v>75</v>
      </c>
      <c r="AC13" s="24" t="s">
        <v>75</v>
      </c>
      <c r="AD13" s="24" t="s">
        <v>75</v>
      </c>
      <c r="AE13" s="24" t="s">
        <v>75</v>
      </c>
      <c r="AF13" s="24" t="s">
        <v>75</v>
      </c>
      <c r="AG13" s="24" t="s">
        <v>75</v>
      </c>
      <c r="AH13" s="24" t="s">
        <v>75</v>
      </c>
      <c r="AI13" s="27" t="s">
        <v>73</v>
      </c>
      <c r="AJ13" s="27"/>
      <c r="AK13" s="31" t="n">
        <v>0.85</v>
      </c>
      <c r="AL13" s="31" t="n">
        <v>0.15</v>
      </c>
      <c r="AM13" s="31"/>
    </row>
    <row r="14" customFormat="false" ht="53.25" hidden="false" customHeight="true" outlineLevel="0" collapsed="false">
      <c r="A14" s="24" t="n">
        <v>7</v>
      </c>
      <c r="B14" s="25" t="s">
        <v>98</v>
      </c>
      <c r="C14" s="25" t="s">
        <v>99</v>
      </c>
      <c r="D14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137.334351123404</v>
      </c>
      <c r="E14" s="24" t="n">
        <v>35797</v>
      </c>
      <c r="F14" s="33"/>
      <c r="G14" s="26" t="n">
        <f aca="false">Tabela4[[#This Row],[Kolumna5]]*20700*0.27778</f>
        <v>0</v>
      </c>
      <c r="H14" s="24" t="n">
        <v>36853</v>
      </c>
      <c r="I14" s="26" t="n">
        <f aca="false">Tabela4[[#This Row],[Kolumna6]]*35.94*0.27778</f>
        <v>367918.7266596</v>
      </c>
      <c r="J14" s="24"/>
      <c r="K14" s="24" t="n">
        <f aca="false">Tabela4[[#This Row],[Kolumna7]]*6.96</f>
        <v>0</v>
      </c>
      <c r="L14" s="24"/>
      <c r="M14" s="28" t="n">
        <f aca="false">Tabela4[[#This Row],[Kolumna8]]*0.000843882*40190*0.27778</f>
        <v>0</v>
      </c>
      <c r="N14" s="24"/>
      <c r="O14" s="24"/>
      <c r="P14" s="29" t="n">
        <f aca="false">Tabela4[[#This Row],[Kolumna10]]*0.65</f>
        <v>0</v>
      </c>
      <c r="Q14" s="26" t="n">
        <f aca="false">Tabela4[[#This Row],[Kolumna102]]*15600*0.27778</f>
        <v>0</v>
      </c>
      <c r="R14" s="24"/>
      <c r="S14" s="24"/>
      <c r="T14" s="24"/>
      <c r="U14" s="27" t="n">
        <v>1938</v>
      </c>
      <c r="V14" s="24"/>
      <c r="W14" s="27" t="n">
        <v>1315</v>
      </c>
      <c r="X14" s="38" t="n">
        <v>2679</v>
      </c>
      <c r="Y14" s="24" t="n">
        <v>503</v>
      </c>
      <c r="Z14" s="24" t="s">
        <v>73</v>
      </c>
      <c r="AA14" s="24" t="s">
        <v>94</v>
      </c>
      <c r="AB14" s="24" t="s">
        <v>75</v>
      </c>
      <c r="AC14" s="24" t="s">
        <v>75</v>
      </c>
      <c r="AD14" s="24" t="s">
        <v>75</v>
      </c>
      <c r="AE14" s="24" t="s">
        <v>75</v>
      </c>
      <c r="AF14" s="24" t="s">
        <v>100</v>
      </c>
      <c r="AG14" s="24" t="s">
        <v>101</v>
      </c>
      <c r="AH14" s="24" t="s">
        <v>95</v>
      </c>
      <c r="AI14" s="39" t="s">
        <v>102</v>
      </c>
      <c r="AJ14" s="27"/>
      <c r="AK14" s="31" t="n">
        <v>0.9</v>
      </c>
      <c r="AL14" s="32" t="n">
        <v>0.1</v>
      </c>
      <c r="AM14" s="32"/>
    </row>
    <row r="15" customFormat="false" ht="63" hidden="false" customHeight="true" outlineLevel="0" collapsed="false">
      <c r="A15" s="25" t="n">
        <v>8</v>
      </c>
      <c r="B15" s="25" t="s">
        <v>103</v>
      </c>
      <c r="C15" s="25" t="s">
        <v>104</v>
      </c>
      <c r="D15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80.500764783638</v>
      </c>
      <c r="E15" s="24" t="n">
        <v>5929</v>
      </c>
      <c r="F15" s="24"/>
      <c r="G15" s="26" t="n">
        <f aca="false">Tabela4[[#This Row],[Kolumna5]]*20700*0.27778</f>
        <v>0</v>
      </c>
      <c r="H15" s="24" t="n">
        <v>10014</v>
      </c>
      <c r="I15" s="26" t="n">
        <f aca="false">Tabela4[[#This Row],[Kolumna6]]*35.94*0.27778</f>
        <v>99973.8997848</v>
      </c>
      <c r="J15" s="24"/>
      <c r="K15" s="24" t="n">
        <f aca="false">Tabela4[[#This Row],[Kolumna7]]*6.96</f>
        <v>0</v>
      </c>
      <c r="L15" s="24"/>
      <c r="M15" s="28" t="n">
        <f aca="false">Tabela4[[#This Row],[Kolumna8]]*0.000843882*40190*0.27778</f>
        <v>0</v>
      </c>
      <c r="N15" s="24"/>
      <c r="O15" s="24"/>
      <c r="P15" s="29" t="n">
        <f aca="false">Tabela4[[#This Row],[Kolumna10]]*0.65</f>
        <v>0</v>
      </c>
      <c r="Q15" s="26" t="n">
        <f aca="false">Tabela4[[#This Row],[Kolumna102]]*15600*0.27778</f>
        <v>0</v>
      </c>
      <c r="R15" s="24"/>
      <c r="S15" s="24"/>
      <c r="T15" s="24"/>
      <c r="U15" s="24" t="n">
        <v>1965</v>
      </c>
      <c r="V15" s="24"/>
      <c r="W15" s="24" t="n">
        <v>5662</v>
      </c>
      <c r="X15" s="26" t="n">
        <v>1241.9</v>
      </c>
      <c r="Y15" s="24" t="n">
        <v>118</v>
      </c>
      <c r="Z15" s="24" t="n">
        <v>2006</v>
      </c>
      <c r="AA15" s="24" t="s">
        <v>75</v>
      </c>
      <c r="AB15" s="24" t="s">
        <v>75</v>
      </c>
      <c r="AC15" s="24" t="s">
        <v>75</v>
      </c>
      <c r="AD15" s="24" t="s">
        <v>75</v>
      </c>
      <c r="AE15" s="24" t="s">
        <v>75</v>
      </c>
      <c r="AF15" s="24" t="s">
        <v>75</v>
      </c>
      <c r="AG15" s="24" t="s">
        <v>75</v>
      </c>
      <c r="AH15" s="24" t="s">
        <v>105</v>
      </c>
      <c r="AI15" s="36" t="s">
        <v>106</v>
      </c>
      <c r="AJ15" s="24"/>
      <c r="AK15" s="31" t="n">
        <v>0.6</v>
      </c>
      <c r="AL15" s="31" t="n">
        <v>0.4</v>
      </c>
      <c r="AM15" s="31"/>
      <c r="AU15" s="21"/>
    </row>
    <row r="16" customFormat="false" ht="60.75" hidden="false" customHeight="true" outlineLevel="0" collapsed="false">
      <c r="A16" s="40" t="n">
        <v>9</v>
      </c>
      <c r="B16" s="25" t="s">
        <v>107</v>
      </c>
      <c r="C16" s="25" t="s">
        <v>108</v>
      </c>
      <c r="D16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16" s="24" t="n">
        <v>9530</v>
      </c>
      <c r="F16" s="24"/>
      <c r="G16" s="26" t="n">
        <f aca="false">Tabela4[[#This Row],[Kolumna5]]*20700*0.27778</f>
        <v>0</v>
      </c>
      <c r="H16" s="24"/>
      <c r="I16" s="26" t="n">
        <f aca="false">Tabela4[[#This Row],[Kolumna6]]*35.94*0.27778</f>
        <v>0</v>
      </c>
      <c r="J16" s="24"/>
      <c r="K16" s="24" t="n">
        <f aca="false">Tabela4[[#This Row],[Kolumna7]]*6.96</f>
        <v>0</v>
      </c>
      <c r="L16" s="41"/>
      <c r="M16" s="28" t="n">
        <f aca="false">Tabela4[[#This Row],[Kolumna8]]*0.000843882*40190*0.27778</f>
        <v>0</v>
      </c>
      <c r="N16" s="24"/>
      <c r="O16" s="24"/>
      <c r="P16" s="29" t="n">
        <f aca="false">Tabela4[[#This Row],[Kolumna10]]*0.65</f>
        <v>0</v>
      </c>
      <c r="Q16" s="26" t="n">
        <f aca="false">Tabela4[[#This Row],[Kolumna102]]*15600*0.27778</f>
        <v>0</v>
      </c>
      <c r="R16" s="24"/>
      <c r="S16" s="24"/>
      <c r="T16" s="24"/>
      <c r="U16" s="33" t="s">
        <v>109</v>
      </c>
      <c r="V16" s="24"/>
      <c r="W16" s="24" t="n">
        <v>280.04</v>
      </c>
      <c r="X16" s="26" t="n">
        <v>58.2</v>
      </c>
      <c r="Y16" s="24" t="n">
        <v>2500</v>
      </c>
      <c r="Z16" s="24" t="s">
        <v>73</v>
      </c>
      <c r="AA16" s="24" t="s">
        <v>75</v>
      </c>
      <c r="AB16" s="24" t="s">
        <v>105</v>
      </c>
      <c r="AC16" s="27" t="s">
        <v>110</v>
      </c>
      <c r="AD16" s="24" t="s">
        <v>105</v>
      </c>
      <c r="AE16" s="24" t="s">
        <v>105</v>
      </c>
      <c r="AF16" s="27" t="s">
        <v>75</v>
      </c>
      <c r="AG16" s="27" t="s">
        <v>105</v>
      </c>
      <c r="AH16" s="27" t="s">
        <v>75</v>
      </c>
      <c r="AI16" s="27" t="s">
        <v>73</v>
      </c>
      <c r="AJ16" s="27"/>
      <c r="AK16" s="31" t="n">
        <v>0.6</v>
      </c>
      <c r="AL16" s="31" t="n">
        <v>0.3</v>
      </c>
      <c r="AM16" s="31" t="n">
        <v>0.1</v>
      </c>
      <c r="AN16" s="21"/>
      <c r="AU16" s="21"/>
    </row>
    <row r="17" customFormat="false" ht="45" hidden="false" customHeight="true" outlineLevel="0" collapsed="false">
      <c r="A17" s="25" t="n">
        <v>10</v>
      </c>
      <c r="B17" s="25" t="s">
        <v>111</v>
      </c>
      <c r="C17" s="35" t="s">
        <v>112</v>
      </c>
      <c r="D17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117.387199969481</v>
      </c>
      <c r="E17" s="24" t="n">
        <v>9512</v>
      </c>
      <c r="F17" s="29"/>
      <c r="G17" s="26" t="n">
        <f aca="false">Tabela4[[#This Row],[Kolumna5]]*20700*0.27778</f>
        <v>0</v>
      </c>
      <c r="H17" s="24" t="n">
        <v>6935</v>
      </c>
      <c r="I17" s="26" t="n">
        <f aca="false">Tabela4[[#This Row],[Kolumna6]]*35.94*0.27778</f>
        <v>69234.970542</v>
      </c>
      <c r="J17" s="29"/>
      <c r="K17" s="29" t="n">
        <f aca="false">Tabela4[[#This Row],[Kolumna7]]*6.96</f>
        <v>0</v>
      </c>
      <c r="L17" s="29"/>
      <c r="M17" s="28" t="n">
        <f aca="false">Tabela4[[#This Row],[Kolumna8]]*0.000843882*40190*0.27778</f>
        <v>0</v>
      </c>
      <c r="N17" s="29"/>
      <c r="O17" s="29"/>
      <c r="P17" s="24" t="n">
        <f aca="false">Tabela4[[#This Row],[Kolumna10]]*0.65</f>
        <v>0</v>
      </c>
      <c r="Q17" s="26" t="n">
        <f aca="false">Tabela4[[#This Row],[Kolumna102]]*15600*0.27778</f>
        <v>0</v>
      </c>
      <c r="R17" s="29"/>
      <c r="S17" s="29"/>
      <c r="T17" s="29"/>
      <c r="U17" s="33" t="n">
        <v>1980</v>
      </c>
      <c r="V17" s="24"/>
      <c r="W17" s="24" t="n">
        <v>3088.9</v>
      </c>
      <c r="X17" s="26" t="n">
        <v>589.8</v>
      </c>
      <c r="Y17" s="27"/>
      <c r="Z17" s="24" t="s">
        <v>73</v>
      </c>
      <c r="AA17" s="24" t="s">
        <v>75</v>
      </c>
      <c r="AB17" s="24" t="s">
        <v>75</v>
      </c>
      <c r="AC17" s="24" t="s">
        <v>75</v>
      </c>
      <c r="AD17" s="24" t="s">
        <v>75</v>
      </c>
      <c r="AE17" s="24" t="s">
        <v>75</v>
      </c>
      <c r="AF17" s="24" t="s">
        <v>75</v>
      </c>
      <c r="AG17" s="24" t="s">
        <v>75</v>
      </c>
      <c r="AH17" s="24" t="s">
        <v>75</v>
      </c>
      <c r="AI17" s="42" t="s">
        <v>113</v>
      </c>
      <c r="AJ17" s="43" t="s">
        <v>114</v>
      </c>
      <c r="AK17" s="31" t="n">
        <v>1</v>
      </c>
      <c r="AL17" s="31"/>
      <c r="AM17" s="31"/>
      <c r="AN17" s="21"/>
    </row>
    <row r="18" customFormat="false" ht="48.75" hidden="false" customHeight="true" outlineLevel="0" collapsed="false">
      <c r="A18" s="25" t="n">
        <v>11</v>
      </c>
      <c r="B18" s="25" t="s">
        <v>115</v>
      </c>
      <c r="C18" s="35" t="s">
        <v>116</v>
      </c>
      <c r="D18" s="26" t="n">
        <f aca="false">SUM(Tabela4[[#This Row],[Kolumna52]],Tabela4[[#This Row],[Kolumna62]],Tabela4[[#This Row],[Kolumna82]],Tabela4[[#This Row],[Kolumna103]],Tabela4[[#This Row],[Kolumna11]],Tabela4[[#This Row],[Kolumna112]],Tabela4[[#This Row],[Kolumna12]],Tabela4[[#This Row],[Kolumna72]])/Tabela4[[#This Row],[Kolumna15]]</f>
        <v>132.250461743101</v>
      </c>
      <c r="E18" s="24" t="n">
        <v>29577</v>
      </c>
      <c r="F18" s="29"/>
      <c r="G18" s="26" t="n">
        <f aca="false">Tabela4[[#This Row],[Kolumna5]]*20700*0.27778</f>
        <v>0</v>
      </c>
      <c r="H18" s="41" t="n">
        <v>15552</v>
      </c>
      <c r="I18" s="26" t="n">
        <f aca="false">Tabela4[[#This Row],[Kolumna6]]*35.94*0.27778</f>
        <v>155262.0420864</v>
      </c>
      <c r="J18" s="29"/>
      <c r="K18" s="29" t="n">
        <f aca="false">Tabela4[[#This Row],[Kolumna7]]*6.96</f>
        <v>0</v>
      </c>
      <c r="L18" s="24"/>
      <c r="M18" s="28" t="n">
        <f aca="false">Tabela4[[#This Row],[Kolumna8]]*0.000843882*40190*0.27778</f>
        <v>0</v>
      </c>
      <c r="N18" s="29"/>
      <c r="O18" s="29"/>
      <c r="P18" s="24" t="n">
        <f aca="false">Tabela4[[#This Row],[Kolumna10]]*0.65</f>
        <v>0</v>
      </c>
      <c r="Q18" s="26" t="n">
        <f aca="false">Tabela4[[#This Row],[Kolumna102]]*15600*0.27778</f>
        <v>0</v>
      </c>
      <c r="R18" s="29"/>
      <c r="S18" s="29"/>
      <c r="T18" s="29"/>
      <c r="U18" s="33" t="s">
        <v>86</v>
      </c>
      <c r="V18" s="24"/>
      <c r="W18" s="24" t="s">
        <v>86</v>
      </c>
      <c r="X18" s="26" t="n">
        <v>1174</v>
      </c>
      <c r="Y18" s="24" t="n">
        <v>37</v>
      </c>
      <c r="Z18" s="44" t="s">
        <v>73</v>
      </c>
      <c r="AA18" s="24" t="s">
        <v>75</v>
      </c>
      <c r="AB18" s="24" t="s">
        <v>75</v>
      </c>
      <c r="AC18" s="24" t="s">
        <v>75</v>
      </c>
      <c r="AD18" s="24" t="s">
        <v>75</v>
      </c>
      <c r="AE18" s="24" t="s">
        <v>75</v>
      </c>
      <c r="AF18" s="24" t="s">
        <v>75</v>
      </c>
      <c r="AG18" s="24" t="s">
        <v>75</v>
      </c>
      <c r="AH18" s="24" t="s">
        <v>75</v>
      </c>
      <c r="AI18" s="29" t="s">
        <v>73</v>
      </c>
      <c r="AJ18" s="29"/>
      <c r="AK18" s="31"/>
      <c r="AL18" s="31"/>
      <c r="AM18" s="31"/>
    </row>
    <row r="19" customFormat="false" ht="52.5" hidden="false" customHeight="true" outlineLevel="0" collapsed="false">
      <c r="A19" s="40" t="n">
        <v>12</v>
      </c>
      <c r="B19" s="25" t="s">
        <v>117</v>
      </c>
      <c r="C19" s="35" t="s">
        <v>118</v>
      </c>
      <c r="D19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73.9658954607477</v>
      </c>
      <c r="E19" s="24" t="n">
        <v>5141</v>
      </c>
      <c r="F19" s="29"/>
      <c r="G19" s="26" t="n">
        <f aca="false">Tabela4[[#This Row],[Kolumna5]]*20700*0.27778</f>
        <v>0</v>
      </c>
      <c r="H19" s="41" t="n">
        <v>3171</v>
      </c>
      <c r="I19" s="26" t="n">
        <f aca="false">Tabela4[[#This Row],[Kolumna6]]*35.94*0.27778</f>
        <v>31657.4032572</v>
      </c>
      <c r="J19" s="29"/>
      <c r="K19" s="29" t="n">
        <f aca="false">Tabela4[[#This Row],[Kolumna7]]*6.96</f>
        <v>0</v>
      </c>
      <c r="L19" s="29"/>
      <c r="M19" s="28" t="n">
        <f aca="false">Tabela4[[#This Row],[Kolumna8]]*0.000843882*40190*0.27778</f>
        <v>0</v>
      </c>
      <c r="N19" s="29"/>
      <c r="O19" s="29"/>
      <c r="P19" s="24" t="n">
        <f aca="false">Tabela4[[#This Row],[Kolumna10]]*0.65</f>
        <v>0</v>
      </c>
      <c r="Q19" s="26" t="n">
        <f aca="false">Tabela4[[#This Row],[Kolumna102]]*15600*0.27778</f>
        <v>0</v>
      </c>
      <c r="R19" s="24"/>
      <c r="S19" s="24"/>
      <c r="T19" s="29"/>
      <c r="U19" s="33" t="s">
        <v>86</v>
      </c>
      <c r="V19" s="24"/>
      <c r="W19" s="24" t="n">
        <v>2002</v>
      </c>
      <c r="X19" s="26" t="n">
        <v>428</v>
      </c>
      <c r="Y19" s="24" t="n">
        <v>2</v>
      </c>
      <c r="Z19" s="44" t="s">
        <v>119</v>
      </c>
      <c r="AA19" s="24" t="s">
        <v>75</v>
      </c>
      <c r="AB19" s="24" t="s">
        <v>75</v>
      </c>
      <c r="AC19" s="24" t="s">
        <v>75</v>
      </c>
      <c r="AD19" s="24" t="s">
        <v>75</v>
      </c>
      <c r="AE19" s="24" t="s">
        <v>75</v>
      </c>
      <c r="AF19" s="24" t="s">
        <v>75</v>
      </c>
      <c r="AG19" s="24" t="s">
        <v>75</v>
      </c>
      <c r="AH19" s="24" t="s">
        <v>75</v>
      </c>
      <c r="AI19" s="45" t="s">
        <v>120</v>
      </c>
      <c r="AJ19" s="44" t="s">
        <v>73</v>
      </c>
      <c r="AK19" s="31"/>
      <c r="AL19" s="31"/>
      <c r="AM19" s="31"/>
    </row>
    <row r="20" customFormat="false" ht="52.5" hidden="false" customHeight="true" outlineLevel="0" collapsed="false">
      <c r="A20" s="25" t="n">
        <v>13</v>
      </c>
      <c r="B20" s="25" t="s">
        <v>121</v>
      </c>
      <c r="C20" s="35" t="s">
        <v>122</v>
      </c>
      <c r="D20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0" s="24"/>
      <c r="F20" s="29"/>
      <c r="G20" s="26" t="n">
        <f aca="false">Tabela4[[#This Row],[Kolumna5]]*20700*0.27778</f>
        <v>0</v>
      </c>
      <c r="H20" s="41"/>
      <c r="I20" s="26" t="n">
        <f aca="false">Tabela4[[#This Row],[Kolumna6]]*35.94*0.27778</f>
        <v>0</v>
      </c>
      <c r="J20" s="29"/>
      <c r="K20" s="29" t="n">
        <f aca="false">Tabela4[[#This Row],[Kolumna7]]*6.96</f>
        <v>0</v>
      </c>
      <c r="L20" s="41"/>
      <c r="M20" s="28" t="n">
        <f aca="false">Tabela4[[#This Row],[Kolumna8]]*0.000843882*40190*0.27778</f>
        <v>0</v>
      </c>
      <c r="N20" s="29"/>
      <c r="O20" s="29"/>
      <c r="P20" s="24" t="n">
        <f aca="false">Tabela4[[#This Row],[Kolumna10]]*0.65</f>
        <v>0</v>
      </c>
      <c r="Q20" s="26" t="n">
        <f aca="false">Tabela4[[#This Row],[Kolumna102]]*15600*0.27778</f>
        <v>0</v>
      </c>
      <c r="R20" s="24"/>
      <c r="S20" s="24"/>
      <c r="T20" s="29"/>
      <c r="U20" s="33" t="n">
        <v>1979</v>
      </c>
      <c r="V20" s="24"/>
      <c r="W20" s="24" t="n">
        <v>2562</v>
      </c>
      <c r="X20" s="26" t="n">
        <v>580</v>
      </c>
      <c r="Y20" s="24" t="n">
        <v>15</v>
      </c>
      <c r="Z20" s="44" t="s">
        <v>119</v>
      </c>
      <c r="AA20" s="24" t="s">
        <v>75</v>
      </c>
      <c r="AB20" s="24" t="s">
        <v>75</v>
      </c>
      <c r="AC20" s="24" t="s">
        <v>75</v>
      </c>
      <c r="AD20" s="24" t="s">
        <v>75</v>
      </c>
      <c r="AE20" s="24" t="s">
        <v>75</v>
      </c>
      <c r="AF20" s="24" t="s">
        <v>75</v>
      </c>
      <c r="AG20" s="24" t="s">
        <v>75</v>
      </c>
      <c r="AH20" s="24" t="s">
        <v>75</v>
      </c>
      <c r="AI20" s="45" t="s">
        <v>73</v>
      </c>
      <c r="AJ20" s="29"/>
      <c r="AK20" s="31"/>
      <c r="AL20" s="31"/>
      <c r="AM20" s="31"/>
    </row>
    <row r="21" customFormat="false" ht="49.5" hidden="false" customHeight="true" outlineLevel="0" collapsed="false">
      <c r="A21" s="40" t="n">
        <v>14</v>
      </c>
      <c r="B21" s="25" t="s">
        <v>123</v>
      </c>
      <c r="C21" s="46" t="s">
        <v>124</v>
      </c>
      <c r="D21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1" s="24"/>
      <c r="F21" s="47"/>
      <c r="G21" s="26" t="n">
        <f aca="false">Tabela4[[#This Row],[Kolumna5]]*20700*0.27778</f>
        <v>0</v>
      </c>
      <c r="H21" s="48"/>
      <c r="I21" s="26" t="n">
        <f aca="false">Tabela4[[#This Row],[Kolumna6]]*35.94*0.27778</f>
        <v>0</v>
      </c>
      <c r="J21" s="47"/>
      <c r="K21" s="47" t="n">
        <f aca="false">Tabela4[[#This Row],[Kolumna7]]*6.96</f>
        <v>0</v>
      </c>
      <c r="L21" s="33"/>
      <c r="M21" s="28" t="n">
        <f aca="false">Tabela4[[#This Row],[Kolumna8]]*0.000843882*40190*0.27778</f>
        <v>0</v>
      </c>
      <c r="N21" s="47"/>
      <c r="O21" s="47"/>
      <c r="P21" s="24" t="n">
        <f aca="false">Tabela4[[#This Row],[Kolumna10]]*0.65</f>
        <v>0</v>
      </c>
      <c r="Q21" s="26" t="n">
        <f aca="false">Tabela4[[#This Row],[Kolumna102]]*15600*0.27778</f>
        <v>0</v>
      </c>
      <c r="R21" s="24"/>
      <c r="S21" s="24"/>
      <c r="T21" s="47"/>
      <c r="U21" s="33" t="s">
        <v>86</v>
      </c>
      <c r="V21" s="24"/>
      <c r="W21" s="24" t="s">
        <v>86</v>
      </c>
      <c r="X21" s="26" t="n">
        <v>895</v>
      </c>
      <c r="Y21" s="24" t="n">
        <v>16</v>
      </c>
      <c r="Z21" s="49" t="s">
        <v>73</v>
      </c>
      <c r="AA21" s="24" t="s">
        <v>75</v>
      </c>
      <c r="AB21" s="24" t="s">
        <v>75</v>
      </c>
      <c r="AC21" s="24" t="s">
        <v>75</v>
      </c>
      <c r="AD21" s="24" t="s">
        <v>75</v>
      </c>
      <c r="AE21" s="24" t="s">
        <v>75</v>
      </c>
      <c r="AF21" s="24" t="s">
        <v>75</v>
      </c>
      <c r="AG21" s="24" t="s">
        <v>75</v>
      </c>
      <c r="AH21" s="24" t="s">
        <v>75</v>
      </c>
      <c r="AI21" s="24" t="s">
        <v>73</v>
      </c>
      <c r="AJ21" s="47" t="s">
        <v>73</v>
      </c>
      <c r="AK21" s="31"/>
      <c r="AL21" s="50"/>
      <c r="AM21" s="50"/>
    </row>
    <row r="22" customFormat="false" ht="48.75" hidden="false" customHeight="true" outlineLevel="0" collapsed="false">
      <c r="A22" s="25" t="n">
        <v>15</v>
      </c>
      <c r="B22" s="25" t="s">
        <v>125</v>
      </c>
      <c r="C22" s="46" t="s">
        <v>126</v>
      </c>
      <c r="D22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2" s="24"/>
      <c r="F22" s="51"/>
      <c r="G22" s="26" t="n">
        <f aca="false">Tabela4[[#This Row],[Kolumna5]]*20700*0.27778</f>
        <v>0</v>
      </c>
      <c r="H22" s="48"/>
      <c r="I22" s="26" t="n">
        <f aca="false">Tabela4[[#This Row],[Kolumna6]]*35.94*0.27778</f>
        <v>0</v>
      </c>
      <c r="J22" s="52"/>
      <c r="K22" s="52" t="n">
        <f aca="false">Tabela4[[#This Row],[Kolumna7]]*6.96</f>
        <v>0</v>
      </c>
      <c r="L22" s="47"/>
      <c r="M22" s="28" t="n">
        <f aca="false">Tabela4[[#This Row],[Kolumna8]]*0.000843882*40190*0.27778</f>
        <v>0</v>
      </c>
      <c r="N22" s="47"/>
      <c r="O22" s="47"/>
      <c r="P22" s="24" t="n">
        <f aca="false">Tabela4[[#This Row],[Kolumna10]]*0.65</f>
        <v>0</v>
      </c>
      <c r="Q22" s="26" t="n">
        <f aca="false">Tabela4[[#This Row],[Kolumna102]]*15600*0.27778</f>
        <v>0</v>
      </c>
      <c r="R22" s="29"/>
      <c r="S22" s="29"/>
      <c r="T22" s="47"/>
      <c r="U22" s="33" t="s">
        <v>86</v>
      </c>
      <c r="V22" s="24"/>
      <c r="W22" s="24" t="s">
        <v>86</v>
      </c>
      <c r="X22" s="26" t="n">
        <v>287</v>
      </c>
      <c r="Y22" s="24" t="n">
        <v>9</v>
      </c>
      <c r="Z22" s="49" t="s">
        <v>73</v>
      </c>
      <c r="AA22" s="24" t="s">
        <v>75</v>
      </c>
      <c r="AB22" s="27" t="s">
        <v>75</v>
      </c>
      <c r="AC22" s="24" t="s">
        <v>75</v>
      </c>
      <c r="AD22" s="24" t="s">
        <v>75</v>
      </c>
      <c r="AE22" s="24" t="s">
        <v>75</v>
      </c>
      <c r="AF22" s="24" t="s">
        <v>75</v>
      </c>
      <c r="AG22" s="24" t="s">
        <v>75</v>
      </c>
      <c r="AH22" s="24" t="s">
        <v>75</v>
      </c>
      <c r="AI22" s="27" t="s">
        <v>73</v>
      </c>
      <c r="AJ22" s="27" t="s">
        <v>73</v>
      </c>
      <c r="AK22" s="31"/>
      <c r="AL22" s="50"/>
      <c r="AM22" s="50"/>
    </row>
    <row r="23" customFormat="false" ht="45.75" hidden="false" customHeight="true" outlineLevel="0" collapsed="false">
      <c r="A23" s="25" t="n">
        <v>16</v>
      </c>
      <c r="B23" s="25" t="s">
        <v>127</v>
      </c>
      <c r="C23" s="46" t="s">
        <v>128</v>
      </c>
      <c r="D23" s="26"/>
      <c r="E23" s="24" t="n">
        <v>67</v>
      </c>
      <c r="F23" s="24"/>
      <c r="G23" s="26" t="n">
        <f aca="false">Tabela4[[#This Row],[Kolumna5]]*20700*0.27778</f>
        <v>0</v>
      </c>
      <c r="H23" s="48"/>
      <c r="I23" s="26"/>
      <c r="J23" s="52"/>
      <c r="K23" s="52" t="n">
        <f aca="false">Tabela4[[#This Row],[Kolumna7]]*6.96</f>
        <v>0</v>
      </c>
      <c r="L23" s="47"/>
      <c r="M23" s="28" t="n">
        <f aca="false">Tabela4[[#This Row],[Kolumna8]]*0.000843882*40190*0.27778</f>
        <v>0</v>
      </c>
      <c r="N23" s="47"/>
      <c r="O23" s="47"/>
      <c r="P23" s="24" t="n">
        <f aca="false">Tabela4[[#This Row],[Kolumna10]]*0.65</f>
        <v>0</v>
      </c>
      <c r="Q23" s="26" t="n">
        <f aca="false">Tabela4[[#This Row],[Kolumna102]]*15600*0.27778</f>
        <v>0</v>
      </c>
      <c r="R23" s="47"/>
      <c r="S23" s="47"/>
      <c r="T23" s="47"/>
      <c r="U23" s="24" t="n">
        <v>1968</v>
      </c>
      <c r="V23" s="24"/>
      <c r="W23" s="24" t="s">
        <v>86</v>
      </c>
      <c r="X23" s="26" t="n">
        <v>202</v>
      </c>
      <c r="Y23" s="24" t="n">
        <v>10</v>
      </c>
      <c r="Z23" s="49" t="s">
        <v>73</v>
      </c>
      <c r="AA23" s="24" t="s">
        <v>75</v>
      </c>
      <c r="AB23" s="24" t="s">
        <v>75</v>
      </c>
      <c r="AC23" s="24" t="s">
        <v>75</v>
      </c>
      <c r="AD23" s="24" t="s">
        <v>75</v>
      </c>
      <c r="AE23" s="24" t="s">
        <v>75</v>
      </c>
      <c r="AF23" s="24" t="s">
        <v>75</v>
      </c>
      <c r="AG23" s="24" t="s">
        <v>75</v>
      </c>
      <c r="AH23" s="24" t="s">
        <v>75</v>
      </c>
      <c r="AI23" s="27" t="s">
        <v>73</v>
      </c>
      <c r="AJ23" s="27" t="s">
        <v>73</v>
      </c>
      <c r="AK23" s="31"/>
      <c r="AL23" s="53"/>
      <c r="AM23" s="31"/>
    </row>
    <row r="24" customFormat="false" ht="39.75" hidden="false" customHeight="true" outlineLevel="0" collapsed="false">
      <c r="A24" s="40" t="n">
        <v>17</v>
      </c>
      <c r="B24" s="25" t="s">
        <v>129</v>
      </c>
      <c r="C24" s="54" t="s">
        <v>130</v>
      </c>
      <c r="D24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125.304010554146</v>
      </c>
      <c r="E24" s="24" t="n">
        <v>1246</v>
      </c>
      <c r="F24" s="24"/>
      <c r="G24" s="26" t="n">
        <f aca="false">Tabela4[[#This Row],[Kolumna5]]*20700*0.27778</f>
        <v>0</v>
      </c>
      <c r="H24" s="41" t="n">
        <v>2573</v>
      </c>
      <c r="I24" s="26" t="n">
        <f aca="false">Tabela4[[#This Row],[Kolumna6]]*35.94*0.27778</f>
        <v>25687.3221636</v>
      </c>
      <c r="J24" s="52"/>
      <c r="K24" s="52" t="n">
        <f aca="false">Tabela4[[#This Row],[Kolumna7]]*6.96</f>
        <v>0</v>
      </c>
      <c r="L24" s="47"/>
      <c r="M24" s="28" t="n">
        <f aca="false">Tabela4[[#This Row],[Kolumna8]]*0.000843882*40190*0.27778</f>
        <v>0</v>
      </c>
      <c r="N24" s="47"/>
      <c r="O24" s="47"/>
      <c r="P24" s="24" t="n">
        <f aca="false">Tabela4[[#This Row],[Kolumna10]]*0.65</f>
        <v>0</v>
      </c>
      <c r="Q24" s="26" t="n">
        <f aca="false">Tabela4[[#This Row],[Kolumna102]]*15600*0.27778</f>
        <v>0</v>
      </c>
      <c r="R24" s="47"/>
      <c r="S24" s="47"/>
      <c r="T24" s="47" t="s">
        <v>22</v>
      </c>
      <c r="U24" s="33" t="s">
        <v>86</v>
      </c>
      <c r="V24" s="24"/>
      <c r="W24" s="24" t="s">
        <v>86</v>
      </c>
      <c r="X24" s="26" t="n">
        <v>205</v>
      </c>
      <c r="Y24" s="27" t="n">
        <v>3</v>
      </c>
      <c r="Z24" s="49" t="s">
        <v>73</v>
      </c>
      <c r="AA24" s="24" t="s">
        <v>75</v>
      </c>
      <c r="AB24" s="24" t="s">
        <v>75</v>
      </c>
      <c r="AC24" s="24" t="s">
        <v>75</v>
      </c>
      <c r="AD24" s="24" t="s">
        <v>75</v>
      </c>
      <c r="AE24" s="24" t="s">
        <v>75</v>
      </c>
      <c r="AF24" s="24" t="s">
        <v>75</v>
      </c>
      <c r="AG24" s="24" t="s">
        <v>75</v>
      </c>
      <c r="AH24" s="24" t="s">
        <v>75</v>
      </c>
      <c r="AI24" s="55" t="s">
        <v>73</v>
      </c>
      <c r="AJ24" s="47" t="s">
        <v>131</v>
      </c>
      <c r="AK24" s="31"/>
      <c r="AL24" s="31"/>
      <c r="AM24" s="31"/>
    </row>
    <row r="25" customFormat="false" ht="42" hidden="false" customHeight="true" outlineLevel="0" collapsed="false">
      <c r="A25" s="25" t="n">
        <v>18</v>
      </c>
      <c r="B25" s="25" t="s">
        <v>132</v>
      </c>
      <c r="C25" s="25" t="s">
        <v>133</v>
      </c>
      <c r="D25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5" s="24" t="n">
        <v>67</v>
      </c>
      <c r="F25" s="51"/>
      <c r="G25" s="26" t="n">
        <f aca="false">Tabela4[[#This Row],[Kolumna5]]*20700*0.27778</f>
        <v>0</v>
      </c>
      <c r="H25" s="48"/>
      <c r="I25" s="26" t="n">
        <f aca="false">Tabela4[[#This Row],[Kolumna6]]*35.94*0.27778</f>
        <v>0</v>
      </c>
      <c r="J25" s="52"/>
      <c r="K25" s="52" t="n">
        <f aca="false">Tabela4[[#This Row],[Kolumna7]]*6.96</f>
        <v>0</v>
      </c>
      <c r="L25" s="47"/>
      <c r="M25" s="28" t="n">
        <f aca="false">Tabela4[[#This Row],[Kolumna8]]*0.000843882*40190*0.27778</f>
        <v>0</v>
      </c>
      <c r="N25" s="47"/>
      <c r="O25" s="47"/>
      <c r="P25" s="24" t="n">
        <f aca="false">Tabela4[[#This Row],[Kolumna10]]*0.65</f>
        <v>0</v>
      </c>
      <c r="Q25" s="26" t="n">
        <f aca="false">Tabela4[[#This Row],[Kolumna102]]*15600*0.27778</f>
        <v>0</v>
      </c>
      <c r="R25" s="47"/>
      <c r="S25" s="47"/>
      <c r="T25" s="47"/>
      <c r="U25" s="33" t="n">
        <v>1850</v>
      </c>
      <c r="V25" s="24"/>
      <c r="W25" s="24" t="s">
        <v>86</v>
      </c>
      <c r="X25" s="26" t="n">
        <v>70</v>
      </c>
      <c r="Y25" s="24" t="n">
        <v>4</v>
      </c>
      <c r="Z25" s="24" t="s">
        <v>73</v>
      </c>
      <c r="AA25" s="24" t="s">
        <v>105</v>
      </c>
      <c r="AB25" s="24" t="s">
        <v>105</v>
      </c>
      <c r="AC25" s="24" t="s">
        <v>105</v>
      </c>
      <c r="AD25" s="24" t="s">
        <v>105</v>
      </c>
      <c r="AE25" s="24" t="s">
        <v>105</v>
      </c>
      <c r="AF25" s="24" t="s">
        <v>105</v>
      </c>
      <c r="AG25" s="24" t="s">
        <v>105</v>
      </c>
      <c r="AH25" s="24" t="s">
        <v>105</v>
      </c>
      <c r="AI25" s="24" t="s">
        <v>73</v>
      </c>
      <c r="AJ25" s="47" t="s">
        <v>73</v>
      </c>
      <c r="AK25" s="31"/>
      <c r="AL25" s="31"/>
      <c r="AM25" s="31"/>
    </row>
    <row r="26" customFormat="false" ht="50.25" hidden="false" customHeight="true" outlineLevel="0" collapsed="false">
      <c r="A26" s="40" t="n">
        <v>19</v>
      </c>
      <c r="B26" s="25" t="s">
        <v>134</v>
      </c>
      <c r="C26" s="54" t="s">
        <v>91</v>
      </c>
      <c r="D26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6" s="24" t="n">
        <v>10235</v>
      </c>
      <c r="F26" s="24"/>
      <c r="G26" s="26" t="n">
        <f aca="false">Tabela4[[#This Row],[Kolumna5]]*20700*0.27778</f>
        <v>0</v>
      </c>
      <c r="H26" s="56"/>
      <c r="I26" s="26" t="n">
        <f aca="false">Tabela4[[#This Row],[Kolumna6]]*35.94*0.27778</f>
        <v>0</v>
      </c>
      <c r="J26" s="52"/>
      <c r="K26" s="52" t="n">
        <f aca="false">Tabela4[[#This Row],[Kolumna7]]*6.96</f>
        <v>0</v>
      </c>
      <c r="L26" s="24"/>
      <c r="M26" s="28" t="n">
        <f aca="false">Tabela4[[#This Row],[Kolumna8]]*0.000843882*40190*0.27778</f>
        <v>0</v>
      </c>
      <c r="N26" s="47"/>
      <c r="O26" s="47"/>
      <c r="P26" s="24" t="n">
        <f aca="false">Tabela4[[#This Row],[Kolumna10]]*0.65</f>
        <v>0</v>
      </c>
      <c r="Q26" s="26" t="n">
        <f aca="false">Tabela4[[#This Row],[Kolumna102]]*15600*0.27778</f>
        <v>0</v>
      </c>
      <c r="R26" s="47"/>
      <c r="S26" s="47"/>
      <c r="T26" s="47"/>
      <c r="U26" s="33" t="n">
        <v>1757</v>
      </c>
      <c r="V26" s="24"/>
      <c r="W26" s="24" t="n">
        <v>1164</v>
      </c>
      <c r="X26" s="26" t="n">
        <v>289</v>
      </c>
      <c r="Y26" s="24" t="n">
        <v>1</v>
      </c>
      <c r="Z26" s="49" t="s">
        <v>119</v>
      </c>
      <c r="AA26" s="24" t="s">
        <v>75</v>
      </c>
      <c r="AB26" s="24" t="s">
        <v>75</v>
      </c>
      <c r="AC26" s="24" t="s">
        <v>75</v>
      </c>
      <c r="AD26" s="24" t="s">
        <v>75</v>
      </c>
      <c r="AE26" s="24" t="s">
        <v>75</v>
      </c>
      <c r="AF26" s="24" t="s">
        <v>75</v>
      </c>
      <c r="AG26" s="24" t="s">
        <v>75</v>
      </c>
      <c r="AH26" s="24" t="s">
        <v>75</v>
      </c>
      <c r="AI26" s="27" t="s">
        <v>135</v>
      </c>
      <c r="AJ26" s="47" t="s">
        <v>73</v>
      </c>
      <c r="AK26" s="31"/>
      <c r="AL26" s="31"/>
      <c r="AM26" s="31"/>
    </row>
    <row r="27" customFormat="false" ht="55.5" hidden="false" customHeight="true" outlineLevel="0" collapsed="false">
      <c r="A27" s="25" t="n">
        <v>20</v>
      </c>
      <c r="B27" s="25" t="s">
        <v>136</v>
      </c>
      <c r="C27" s="35" t="s">
        <v>137</v>
      </c>
      <c r="D27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7" s="24"/>
      <c r="F27" s="24"/>
      <c r="G27" s="26" t="n">
        <f aca="false">Tabela4[[#This Row],[Kolumna5]]*20700*0.27778</f>
        <v>0</v>
      </c>
      <c r="H27" s="48"/>
      <c r="I27" s="26" t="n">
        <f aca="false">Tabela4[[#This Row],[Kolumna6]]*35.94*0.27778</f>
        <v>0</v>
      </c>
      <c r="J27" s="52"/>
      <c r="K27" s="52" t="n">
        <f aca="false">Tabela4[[#This Row],[Kolumna7]]*6.96</f>
        <v>0</v>
      </c>
      <c r="L27" s="47"/>
      <c r="M27" s="28" t="n">
        <f aca="false">Tabela4[[#This Row],[Kolumna8]]*0.000843882*40190*0.27778</f>
        <v>0</v>
      </c>
      <c r="N27" s="47"/>
      <c r="O27" s="47"/>
      <c r="P27" s="24" t="n">
        <f aca="false">Tabela4[[#This Row],[Kolumna10]]*0.65</f>
        <v>0</v>
      </c>
      <c r="Q27" s="26" t="n">
        <f aca="false">Tabela4[[#This Row],[Kolumna102]]*15600*0.27778</f>
        <v>0</v>
      </c>
      <c r="R27" s="47"/>
      <c r="S27" s="47"/>
      <c r="T27" s="47"/>
      <c r="U27" s="24" t="n">
        <v>1996</v>
      </c>
      <c r="V27" s="24"/>
      <c r="W27" s="24" t="n">
        <v>2684</v>
      </c>
      <c r="X27" s="26" t="n">
        <v>538</v>
      </c>
      <c r="Y27" s="24" t="n">
        <v>9</v>
      </c>
      <c r="Z27" s="49" t="s">
        <v>119</v>
      </c>
      <c r="AA27" s="24" t="s">
        <v>75</v>
      </c>
      <c r="AB27" s="24" t="s">
        <v>75</v>
      </c>
      <c r="AC27" s="24" t="s">
        <v>75</v>
      </c>
      <c r="AD27" s="24" t="s">
        <v>75</v>
      </c>
      <c r="AE27" s="24" t="s">
        <v>75</v>
      </c>
      <c r="AF27" s="24" t="s">
        <v>75</v>
      </c>
      <c r="AG27" s="24" t="s">
        <v>75</v>
      </c>
      <c r="AH27" s="24" t="s">
        <v>75</v>
      </c>
      <c r="AI27" s="27" t="s">
        <v>73</v>
      </c>
      <c r="AJ27" s="27"/>
      <c r="AK27" s="31"/>
      <c r="AL27" s="31"/>
      <c r="AM27" s="31"/>
    </row>
    <row r="28" customFormat="false" ht="46.5" hidden="false" customHeight="true" outlineLevel="0" collapsed="false">
      <c r="A28" s="25" t="n">
        <v>21</v>
      </c>
      <c r="B28" s="25" t="s">
        <v>138</v>
      </c>
      <c r="C28" s="57" t="s">
        <v>139</v>
      </c>
      <c r="D28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8" s="24"/>
      <c r="F28" s="47"/>
      <c r="G28" s="26" t="n">
        <f aca="false">Tabela4[[#This Row],[Kolumna5]]*20700*0.27778</f>
        <v>0</v>
      </c>
      <c r="H28" s="58"/>
      <c r="I28" s="26" t="n">
        <f aca="false">Tabela4[[#This Row],[Kolumna6]]*35.94*0.27778</f>
        <v>0</v>
      </c>
      <c r="J28" s="47"/>
      <c r="K28" s="47" t="n">
        <f aca="false">Tabela4[[#This Row],[Kolumna7]]*6.96</f>
        <v>0</v>
      </c>
      <c r="L28" s="27"/>
      <c r="M28" s="28" t="n">
        <f aca="false">Tabela4[[#This Row],[Kolumna8]]*0.000843882*40190*0.27778</f>
        <v>0</v>
      </c>
      <c r="N28" s="47"/>
      <c r="O28" s="47"/>
      <c r="P28" s="24" t="n">
        <f aca="false">Tabela4[[#This Row],[Kolumna10]]*0.65</f>
        <v>0</v>
      </c>
      <c r="Q28" s="26" t="n">
        <f aca="false">Tabela4[[#This Row],[Kolumna102]]*15600*0.27778</f>
        <v>0</v>
      </c>
      <c r="R28" s="47"/>
      <c r="S28" s="47"/>
      <c r="T28" s="47"/>
      <c r="U28" s="33" t="s">
        <v>86</v>
      </c>
      <c r="V28" s="27"/>
      <c r="W28" s="24" t="s">
        <v>86</v>
      </c>
      <c r="X28" s="26" t="n">
        <v>188</v>
      </c>
      <c r="Y28" s="27" t="n">
        <v>2</v>
      </c>
      <c r="Z28" s="49" t="s">
        <v>73</v>
      </c>
      <c r="AA28" s="24" t="s">
        <v>75</v>
      </c>
      <c r="AB28" s="24" t="s">
        <v>75</v>
      </c>
      <c r="AC28" s="24" t="s">
        <v>75</v>
      </c>
      <c r="AD28" s="24" t="s">
        <v>75</v>
      </c>
      <c r="AE28" s="24" t="s">
        <v>75</v>
      </c>
      <c r="AF28" s="24" t="s">
        <v>75</v>
      </c>
      <c r="AG28" s="24" t="s">
        <v>75</v>
      </c>
      <c r="AH28" s="24" t="s">
        <v>75</v>
      </c>
      <c r="AI28" s="27" t="s">
        <v>140</v>
      </c>
      <c r="AJ28" s="27" t="s">
        <v>73</v>
      </c>
      <c r="AK28" s="31"/>
      <c r="AL28" s="31"/>
      <c r="AM28" s="31"/>
    </row>
    <row r="29" customFormat="false" ht="59.25" hidden="false" customHeight="true" outlineLevel="0" collapsed="false">
      <c r="A29" s="40" t="n">
        <v>22</v>
      </c>
      <c r="B29" s="25" t="s">
        <v>141</v>
      </c>
      <c r="C29" s="59" t="s">
        <v>142</v>
      </c>
      <c r="D29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29" s="24"/>
      <c r="F29" s="47"/>
      <c r="G29" s="26" t="n">
        <f aca="false">Tabela4[[#This Row],[Kolumna5]]*20700*0.27778</f>
        <v>0</v>
      </c>
      <c r="H29" s="58"/>
      <c r="I29" s="26" t="n">
        <f aca="false">Tabela4[[#This Row],[Kolumna6]]*35.94*0.27778</f>
        <v>0</v>
      </c>
      <c r="J29" s="47"/>
      <c r="K29" s="47" t="n">
        <f aca="false">Tabela4[[#This Row],[Kolumna7]]*6.96</f>
        <v>0</v>
      </c>
      <c r="L29" s="47"/>
      <c r="M29" s="28" t="n">
        <f aca="false">Tabela4[[#This Row],[Kolumna8]]*0.000843882*40190*0.27778</f>
        <v>0</v>
      </c>
      <c r="N29" s="47"/>
      <c r="O29" s="47"/>
      <c r="P29" s="24" t="n">
        <f aca="false">Tabela4[[#This Row],[Kolumna10]]*0.65</f>
        <v>0</v>
      </c>
      <c r="Q29" s="26" t="n">
        <f aca="false">Tabela4[[#This Row],[Kolumna102]]*15600*0.27778</f>
        <v>0</v>
      </c>
      <c r="R29" s="60"/>
      <c r="S29" s="47"/>
      <c r="T29" s="29"/>
      <c r="U29" s="24" t="n">
        <v>2006</v>
      </c>
      <c r="V29" s="24"/>
      <c r="W29" s="24" t="n">
        <v>5950</v>
      </c>
      <c r="X29" s="26" t="n">
        <v>1352</v>
      </c>
      <c r="Y29" s="27" t="n">
        <v>9</v>
      </c>
      <c r="Z29" s="49" t="s">
        <v>119</v>
      </c>
      <c r="AA29" s="24" t="s">
        <v>75</v>
      </c>
      <c r="AB29" s="24" t="s">
        <v>75</v>
      </c>
      <c r="AC29" s="24" t="s">
        <v>75</v>
      </c>
      <c r="AD29" s="24" t="s">
        <v>75</v>
      </c>
      <c r="AE29" s="24" t="s">
        <v>75</v>
      </c>
      <c r="AF29" s="24" t="s">
        <v>75</v>
      </c>
      <c r="AG29" s="24" t="s">
        <v>75</v>
      </c>
      <c r="AH29" s="24" t="s">
        <v>75</v>
      </c>
      <c r="AI29" s="29" t="s">
        <v>143</v>
      </c>
      <c r="AJ29" s="61" t="s">
        <v>73</v>
      </c>
      <c r="AK29" s="31"/>
      <c r="AL29" s="31"/>
      <c r="AM29" s="31"/>
    </row>
    <row r="30" customFormat="false" ht="78.75" hidden="false" customHeight="true" outlineLevel="0" collapsed="false">
      <c r="A30" s="25" t="n">
        <v>23</v>
      </c>
      <c r="B30" s="25" t="s">
        <v>144</v>
      </c>
      <c r="C30" s="35" t="s">
        <v>145</v>
      </c>
      <c r="D30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30" s="24"/>
      <c r="F30" s="47"/>
      <c r="G30" s="26" t="n">
        <f aca="false">Tabela4[[#This Row],[Kolumna5]]*20700*0.27778</f>
        <v>0</v>
      </c>
      <c r="H30" s="41"/>
      <c r="I30" s="26" t="n">
        <f aca="false">Tabela4[[#This Row],[Kolumna6]]*35.94*0.27778</f>
        <v>0</v>
      </c>
      <c r="J30" s="47"/>
      <c r="K30" s="47" t="n">
        <f aca="false">Tabela4[[#This Row],[Kolumna7]]*6.96</f>
        <v>0</v>
      </c>
      <c r="L30" s="47"/>
      <c r="M30" s="28" t="n">
        <f aca="false">Tabela4[[#This Row],[Kolumna8]]*0.000843882*40190*0.27778</f>
        <v>0</v>
      </c>
      <c r="N30" s="47"/>
      <c r="O30" s="47"/>
      <c r="P30" s="24" t="n">
        <f aca="false">Tabela4[[#This Row],[Kolumna10]]*0.65</f>
        <v>0</v>
      </c>
      <c r="Q30" s="26" t="n">
        <f aca="false">Tabela4[[#This Row],[Kolumna102]]*15600*0.27778</f>
        <v>0</v>
      </c>
      <c r="R30" s="47"/>
      <c r="S30" s="47"/>
      <c r="T30" s="47"/>
      <c r="U30" s="33" t="s">
        <v>86</v>
      </c>
      <c r="V30" s="24"/>
      <c r="W30" s="24" t="n">
        <v>1313</v>
      </c>
      <c r="X30" s="26" t="n">
        <v>310</v>
      </c>
      <c r="Y30" s="24" t="n">
        <v>7</v>
      </c>
      <c r="Z30" s="49" t="s">
        <v>119</v>
      </c>
      <c r="AA30" s="27" t="s">
        <v>75</v>
      </c>
      <c r="AB30" s="27" t="s">
        <v>75</v>
      </c>
      <c r="AC30" s="27" t="s">
        <v>75</v>
      </c>
      <c r="AD30" s="27" t="s">
        <v>75</v>
      </c>
      <c r="AE30" s="27" t="s">
        <v>75</v>
      </c>
      <c r="AF30" s="27" t="s">
        <v>75</v>
      </c>
      <c r="AG30" s="27" t="s">
        <v>75</v>
      </c>
      <c r="AH30" s="27" t="s">
        <v>75</v>
      </c>
      <c r="AI30" s="29" t="s">
        <v>73</v>
      </c>
      <c r="AJ30" s="29"/>
      <c r="AK30" s="31"/>
      <c r="AL30" s="31"/>
      <c r="AM30" s="31"/>
    </row>
    <row r="31" customFormat="false" ht="51.75" hidden="false" customHeight="true" outlineLevel="0" collapsed="false">
      <c r="A31" s="40" t="n">
        <v>24</v>
      </c>
      <c r="B31" s="25" t="s">
        <v>146</v>
      </c>
      <c r="C31" s="35" t="s">
        <v>147</v>
      </c>
      <c r="D31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31" s="24" t="n">
        <v>137</v>
      </c>
      <c r="F31" s="24"/>
      <c r="G31" s="26" t="n">
        <f aca="false">Tabela4[[#This Row],[Kolumna5]]*20700*0.27778</f>
        <v>0</v>
      </c>
      <c r="H31" s="58"/>
      <c r="I31" s="26" t="n">
        <f aca="false">Tabela4[[#This Row],[Kolumna6]]*35.94*0.27778</f>
        <v>0</v>
      </c>
      <c r="J31" s="47"/>
      <c r="K31" s="47" t="n">
        <f aca="false">Tabela4[[#This Row],[Kolumna7]]*6.96</f>
        <v>0</v>
      </c>
      <c r="L31" s="47"/>
      <c r="M31" s="28" t="n">
        <f aca="false">Tabela4[[#This Row],[Kolumna8]]*0.000843882*40190*0.27778</f>
        <v>0</v>
      </c>
      <c r="N31" s="47"/>
      <c r="O31" s="47"/>
      <c r="P31" s="24" t="n">
        <f aca="false">Tabela4[[#This Row],[Kolumna10]]*0.65</f>
        <v>0</v>
      </c>
      <c r="Q31" s="26" t="n">
        <f aca="false">Tabela4[[#This Row],[Kolumna102]]*15600*0.27778</f>
        <v>0</v>
      </c>
      <c r="R31" s="47"/>
      <c r="S31" s="47"/>
      <c r="T31" s="62"/>
      <c r="U31" s="33" t="n">
        <v>1911</v>
      </c>
      <c r="V31" s="24"/>
      <c r="W31" s="24" t="s">
        <v>86</v>
      </c>
      <c r="X31" s="26" t="n">
        <v>476</v>
      </c>
      <c r="Y31" s="27" t="n">
        <v>5</v>
      </c>
      <c r="Z31" s="49" t="s">
        <v>73</v>
      </c>
      <c r="AA31" s="24" t="s">
        <v>105</v>
      </c>
      <c r="AB31" s="24" t="s">
        <v>105</v>
      </c>
      <c r="AC31" s="24" t="s">
        <v>105</v>
      </c>
      <c r="AD31" s="24" t="s">
        <v>105</v>
      </c>
      <c r="AE31" s="24" t="s">
        <v>105</v>
      </c>
      <c r="AF31" s="24" t="s">
        <v>105</v>
      </c>
      <c r="AG31" s="24" t="s">
        <v>105</v>
      </c>
      <c r="AH31" s="24" t="s">
        <v>105</v>
      </c>
      <c r="AI31" s="36" t="s">
        <v>73</v>
      </c>
      <c r="AJ31" s="63" t="s">
        <v>148</v>
      </c>
      <c r="AK31" s="31"/>
      <c r="AL31" s="31"/>
      <c r="AM31" s="31"/>
    </row>
    <row r="32" customFormat="false" ht="45.75" hidden="false" customHeight="true" outlineLevel="0" collapsed="false">
      <c r="A32" s="25" t="n">
        <v>25</v>
      </c>
      <c r="B32" s="25" t="s">
        <v>149</v>
      </c>
      <c r="C32" s="35" t="s">
        <v>150</v>
      </c>
      <c r="D32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124.006933405556</v>
      </c>
      <c r="E32" s="24" t="n">
        <v>6334</v>
      </c>
      <c r="F32" s="24"/>
      <c r="G32" s="26" t="n">
        <f aca="false">Tabela4[[#This Row],[Kolumna5]]*20700*0.27778</f>
        <v>0</v>
      </c>
      <c r="H32" s="41" t="n">
        <v>5366</v>
      </c>
      <c r="I32" s="26" t="n">
        <f aca="false">Tabela4[[#This Row],[Kolumna6]]*35.94*0.27778</f>
        <v>53570.9952312</v>
      </c>
      <c r="J32" s="47"/>
      <c r="K32" s="47" t="n">
        <f aca="false">Tabela4[[#This Row],[Kolumna7]]*6.96</f>
        <v>0</v>
      </c>
      <c r="L32" s="47"/>
      <c r="M32" s="28" t="n">
        <f aca="false">Tabela4[[#This Row],[Kolumna8]]*0.000843882*40190*0.27778</f>
        <v>0</v>
      </c>
      <c r="N32" s="47"/>
      <c r="O32" s="47"/>
      <c r="P32" s="24" t="n">
        <f aca="false">Tabela4[[#This Row],[Kolumna10]]*0.65</f>
        <v>0</v>
      </c>
      <c r="Q32" s="26" t="n">
        <f aca="false">Tabela4[[#This Row],[Kolumna102]]*15600*0.27778</f>
        <v>0</v>
      </c>
      <c r="R32" s="47"/>
      <c r="S32" s="47"/>
      <c r="T32" s="47"/>
      <c r="U32" s="33" t="s">
        <v>86</v>
      </c>
      <c r="V32" s="24"/>
      <c r="W32" s="24" t="n">
        <v>1738</v>
      </c>
      <c r="X32" s="26" t="n">
        <v>432</v>
      </c>
      <c r="Y32" s="27" t="n">
        <v>20</v>
      </c>
      <c r="Z32" s="49" t="s">
        <v>119</v>
      </c>
      <c r="AA32" s="27" t="s">
        <v>75</v>
      </c>
      <c r="AB32" s="27" t="s">
        <v>75</v>
      </c>
      <c r="AC32" s="27" t="s">
        <v>75</v>
      </c>
      <c r="AD32" s="27" t="s">
        <v>75</v>
      </c>
      <c r="AE32" s="27" t="s">
        <v>75</v>
      </c>
      <c r="AF32" s="27" t="s">
        <v>75</v>
      </c>
      <c r="AG32" s="27" t="s">
        <v>75</v>
      </c>
      <c r="AH32" s="27" t="s">
        <v>75</v>
      </c>
      <c r="AI32" s="42" t="s">
        <v>151</v>
      </c>
      <c r="AJ32" s="64"/>
      <c r="AK32" s="31"/>
      <c r="AL32" s="31"/>
      <c r="AM32" s="31"/>
    </row>
    <row r="33" customFormat="false" ht="37.5" hidden="false" customHeight="true" outlineLevel="0" collapsed="false">
      <c r="A33" s="25" t="n">
        <v>26</v>
      </c>
      <c r="B33" s="25" t="s">
        <v>152</v>
      </c>
      <c r="C33" s="35" t="s">
        <v>153</v>
      </c>
      <c r="D33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40.1292861266381</v>
      </c>
      <c r="E33" s="41" t="n">
        <v>32227</v>
      </c>
      <c r="F33" s="47"/>
      <c r="G33" s="26" t="n">
        <f aca="false">Tabela4[[#This Row],[Kolumna5]]*20700*0.27778</f>
        <v>0</v>
      </c>
      <c r="H33" s="41" t="n">
        <v>6564</v>
      </c>
      <c r="I33" s="26" t="n">
        <f aca="false">Tabela4[[#This Row],[Kolumna6]]*35.94*0.27778</f>
        <v>65531.1242448</v>
      </c>
      <c r="J33" s="47"/>
      <c r="K33" s="47" t="n">
        <f aca="false">Tabela4[[#This Row],[Kolumna7]]*6.96</f>
        <v>0</v>
      </c>
      <c r="L33" s="47"/>
      <c r="M33" s="28"/>
      <c r="N33" s="47"/>
      <c r="O33" s="47"/>
      <c r="P33" s="24" t="n">
        <f aca="false">Tabela4[[#This Row],[Kolumna10]]*0.65</f>
        <v>0</v>
      </c>
      <c r="Q33" s="26" t="n">
        <f aca="false">Tabela4[[#This Row],[Kolumna102]]*15600*0.27778</f>
        <v>0</v>
      </c>
      <c r="R33" s="47"/>
      <c r="S33" s="65"/>
      <c r="T33" s="29"/>
      <c r="U33" s="33" t="n">
        <v>2005</v>
      </c>
      <c r="V33" s="24"/>
      <c r="W33" s="24" t="n">
        <v>7883</v>
      </c>
      <c r="X33" s="26" t="n">
        <v>1633</v>
      </c>
      <c r="Y33" s="27" t="n">
        <v>14</v>
      </c>
      <c r="Z33" s="49" t="s">
        <v>119</v>
      </c>
      <c r="AA33" s="27" t="s">
        <v>75</v>
      </c>
      <c r="AB33" s="27" t="s">
        <v>75</v>
      </c>
      <c r="AC33" s="27" t="s">
        <v>75</v>
      </c>
      <c r="AD33" s="27" t="s">
        <v>75</v>
      </c>
      <c r="AE33" s="27" t="s">
        <v>75</v>
      </c>
      <c r="AF33" s="27" t="s">
        <v>75</v>
      </c>
      <c r="AG33" s="27" t="s">
        <v>75</v>
      </c>
      <c r="AH33" s="27" t="s">
        <v>75</v>
      </c>
      <c r="AI33" s="42" t="s">
        <v>154</v>
      </c>
      <c r="AJ33" s="66" t="s">
        <v>73</v>
      </c>
      <c r="AK33" s="31"/>
      <c r="AL33" s="31"/>
      <c r="AM33" s="31"/>
    </row>
    <row r="34" customFormat="false" ht="45.75" hidden="false" customHeight="true" outlineLevel="0" collapsed="false">
      <c r="A34" s="40" t="n">
        <v>27</v>
      </c>
      <c r="B34" s="25" t="s">
        <v>155</v>
      </c>
      <c r="C34" s="57" t="s">
        <v>156</v>
      </c>
      <c r="D34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12.2903775015136</v>
      </c>
      <c r="E34" s="24" t="n">
        <v>6845</v>
      </c>
      <c r="F34" s="47"/>
      <c r="G34" s="26" t="n">
        <f aca="false">Tabela4[[#This Row],[Kolumna5]]*20700*0.27778</f>
        <v>0</v>
      </c>
      <c r="H34" s="41" t="n">
        <v>1220</v>
      </c>
      <c r="I34" s="26" t="n">
        <f aca="false">Tabela4[[#This Row],[Kolumna6]]*35.94*0.27778</f>
        <v>12179.764104</v>
      </c>
      <c r="J34" s="47"/>
      <c r="K34" s="47" t="n">
        <f aca="false">Tabela4[[#This Row],[Kolumna7]]*6.96</f>
        <v>0</v>
      </c>
      <c r="L34" s="47"/>
      <c r="M34" s="28" t="n">
        <f aca="false">Tabela4[[#This Row],[Kolumna8]]*0.000843882*40190*0.27778</f>
        <v>0</v>
      </c>
      <c r="N34" s="47"/>
      <c r="O34" s="47"/>
      <c r="P34" s="24" t="n">
        <f aca="false">Tabela4[[#This Row],[Kolumna10]]*0.65</f>
        <v>0</v>
      </c>
      <c r="Q34" s="26" t="n">
        <f aca="false">Tabela4[[#This Row],[Kolumna102]]*15600*0.27778</f>
        <v>0</v>
      </c>
      <c r="R34" s="47"/>
      <c r="S34" s="47"/>
      <c r="T34" s="47"/>
      <c r="U34" s="33" t="s">
        <v>86</v>
      </c>
      <c r="V34" s="47"/>
      <c r="W34" s="24" t="n">
        <v>6500</v>
      </c>
      <c r="X34" s="26" t="n">
        <v>991</v>
      </c>
      <c r="Y34" s="24" t="n">
        <v>2</v>
      </c>
      <c r="Z34" s="49" t="s">
        <v>119</v>
      </c>
      <c r="AA34" s="27" t="s">
        <v>75</v>
      </c>
      <c r="AB34" s="27" t="s">
        <v>75</v>
      </c>
      <c r="AC34" s="27" t="s">
        <v>75</v>
      </c>
      <c r="AD34" s="27" t="s">
        <v>75</v>
      </c>
      <c r="AE34" s="27" t="s">
        <v>75</v>
      </c>
      <c r="AF34" s="27" t="s">
        <v>75</v>
      </c>
      <c r="AG34" s="27" t="s">
        <v>75</v>
      </c>
      <c r="AH34" s="27" t="s">
        <v>75</v>
      </c>
      <c r="AI34" s="67" t="s">
        <v>157</v>
      </c>
      <c r="AJ34" s="68"/>
      <c r="AK34" s="31"/>
      <c r="AL34" s="31"/>
      <c r="AM34" s="31"/>
    </row>
    <row r="35" customFormat="false" ht="44.25" hidden="false" customHeight="true" outlineLevel="0" collapsed="false">
      <c r="A35" s="25" t="n">
        <v>28</v>
      </c>
      <c r="B35" s="25" t="s">
        <v>158</v>
      </c>
      <c r="C35" s="57" t="s">
        <v>159</v>
      </c>
      <c r="D35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24.4117382840989</v>
      </c>
      <c r="E35" s="41" t="n">
        <v>495</v>
      </c>
      <c r="F35" s="47"/>
      <c r="G35" s="26" t="n">
        <f aca="false">Tabela4[[#This Row],[Kolumna5]]*20700*0.27778</f>
        <v>0</v>
      </c>
      <c r="H35" s="41" t="n">
        <v>692</v>
      </c>
      <c r="I35" s="26" t="n">
        <f aca="false">Tabela4[[#This Row],[Kolumna6]]*35.94*0.27778</f>
        <v>6908.5219344</v>
      </c>
      <c r="J35" s="47"/>
      <c r="K35" s="47" t="n">
        <f aca="false">Tabela4[[#This Row],[Kolumna7]]*6.96</f>
        <v>0</v>
      </c>
      <c r="L35" s="47"/>
      <c r="M35" s="28" t="n">
        <f aca="false">Tabela4[[#This Row],[Kolumna8]]*0.000843882*40190*0.27778</f>
        <v>0</v>
      </c>
      <c r="N35" s="47"/>
      <c r="O35" s="47"/>
      <c r="P35" s="24" t="n">
        <f aca="false">Tabela4[[#This Row],[Kolumna10]]*0.65</f>
        <v>0</v>
      </c>
      <c r="Q35" s="26" t="n">
        <f aca="false">Tabela4[[#This Row],[Kolumna102]]*15600*0.27778</f>
        <v>0</v>
      </c>
      <c r="R35" s="47"/>
      <c r="S35" s="47"/>
      <c r="T35" s="47"/>
      <c r="U35" s="33" t="s">
        <v>86</v>
      </c>
      <c r="V35" s="47"/>
      <c r="W35" s="24" t="n">
        <v>2083</v>
      </c>
      <c r="X35" s="26" t="n">
        <v>283</v>
      </c>
      <c r="Y35" s="27" t="n">
        <v>1</v>
      </c>
      <c r="Z35" s="49" t="s">
        <v>119</v>
      </c>
      <c r="AA35" s="27" t="s">
        <v>75</v>
      </c>
      <c r="AB35" s="27" t="s">
        <v>75</v>
      </c>
      <c r="AC35" s="27" t="s">
        <v>75</v>
      </c>
      <c r="AD35" s="27" t="s">
        <v>75</v>
      </c>
      <c r="AE35" s="27" t="s">
        <v>75</v>
      </c>
      <c r="AF35" s="27" t="s">
        <v>75</v>
      </c>
      <c r="AG35" s="27" t="s">
        <v>75</v>
      </c>
      <c r="AH35" s="27" t="s">
        <v>75</v>
      </c>
      <c r="AI35" s="67" t="s">
        <v>160</v>
      </c>
      <c r="AJ35" s="66"/>
      <c r="AK35" s="31"/>
      <c r="AL35" s="31"/>
      <c r="AM35" s="31"/>
    </row>
    <row r="36" customFormat="false" ht="49.5" hidden="false" customHeight="true" outlineLevel="0" collapsed="false">
      <c r="A36" s="40" t="n">
        <v>29</v>
      </c>
      <c r="B36" s="25" t="s">
        <v>161</v>
      </c>
      <c r="C36" s="57" t="s">
        <v>162</v>
      </c>
      <c r="D36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27.9023599692308</v>
      </c>
      <c r="E36" s="24" t="n">
        <v>1012</v>
      </c>
      <c r="F36" s="47"/>
      <c r="G36" s="26" t="n">
        <f aca="false">Tabela4[[#This Row],[Kolumna5]]*20700*0.27778</f>
        <v>0</v>
      </c>
      <c r="H36" s="24" t="n">
        <v>654</v>
      </c>
      <c r="I36" s="26" t="n">
        <f aca="false">Tabela4[[#This Row],[Kolumna6]]*35.94*0.27778</f>
        <v>6529.1522328</v>
      </c>
      <c r="J36" s="47"/>
      <c r="K36" s="47" t="n">
        <f aca="false">Tabela4[[#This Row],[Kolumna7]]*6.96</f>
        <v>0</v>
      </c>
      <c r="L36" s="47"/>
      <c r="M36" s="28" t="n">
        <f aca="false">Tabela4[[#This Row],[Kolumna8]]*0.000843882*40190*0.27778</f>
        <v>0</v>
      </c>
      <c r="N36" s="47"/>
      <c r="O36" s="47"/>
      <c r="P36" s="24" t="n">
        <f aca="false">Tabela4[[#This Row],[Kolumna10]]*0.65</f>
        <v>0</v>
      </c>
      <c r="Q36" s="26" t="n">
        <f aca="false">Tabela4[[#This Row],[Kolumna102]]*15600*0.27778</f>
        <v>0</v>
      </c>
      <c r="R36" s="47"/>
      <c r="S36" s="47"/>
      <c r="T36" s="47"/>
      <c r="U36" s="33" t="s">
        <v>86</v>
      </c>
      <c r="V36" s="47"/>
      <c r="W36" s="24" t="s">
        <v>86</v>
      </c>
      <c r="X36" s="28" t="n">
        <v>234</v>
      </c>
      <c r="Y36" s="27" t="n">
        <v>1</v>
      </c>
      <c r="Z36" s="49" t="s">
        <v>119</v>
      </c>
      <c r="AA36" s="27" t="s">
        <v>75</v>
      </c>
      <c r="AB36" s="27" t="s">
        <v>75</v>
      </c>
      <c r="AC36" s="27" t="s">
        <v>75</v>
      </c>
      <c r="AD36" s="27" t="s">
        <v>75</v>
      </c>
      <c r="AE36" s="27" t="s">
        <v>75</v>
      </c>
      <c r="AF36" s="27" t="s">
        <v>75</v>
      </c>
      <c r="AG36" s="27" t="s">
        <v>75</v>
      </c>
      <c r="AH36" s="27" t="s">
        <v>75</v>
      </c>
      <c r="AI36" s="67" t="s">
        <v>163</v>
      </c>
      <c r="AJ36" s="68"/>
      <c r="AK36" s="31"/>
      <c r="AL36" s="69"/>
      <c r="AM36" s="31"/>
    </row>
    <row r="37" customFormat="false" ht="53.25" hidden="false" customHeight="true" outlineLevel="0" collapsed="false">
      <c r="A37" s="25" t="n">
        <v>30</v>
      </c>
      <c r="B37" s="25" t="s">
        <v>164</v>
      </c>
      <c r="C37" s="57" t="s">
        <v>165</v>
      </c>
      <c r="D37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0</v>
      </c>
      <c r="E37" s="24" t="n">
        <v>31</v>
      </c>
      <c r="F37" s="47"/>
      <c r="G37" s="26" t="n">
        <f aca="false">Tabela4[[#This Row],[Kolumna5]]*20700*0.27778</f>
        <v>0</v>
      </c>
      <c r="H37" s="47"/>
      <c r="I37" s="26" t="n">
        <f aca="false">Tabela4[[#This Row],[Kolumna6]]*35.94*0.27778</f>
        <v>0</v>
      </c>
      <c r="J37" s="47"/>
      <c r="K37" s="47" t="n">
        <f aca="false">Tabela4[[#This Row],[Kolumna7]]*6.96</f>
        <v>0</v>
      </c>
      <c r="L37" s="47"/>
      <c r="M37" s="28" t="n">
        <f aca="false">Tabela4[[#This Row],[Kolumna8]]*0.000843882*40190*0.27778</f>
        <v>0</v>
      </c>
      <c r="N37" s="47"/>
      <c r="O37" s="47"/>
      <c r="P37" s="24" t="n">
        <f aca="false">Tabela4[[#This Row],[Kolumna10]]*0.65</f>
        <v>0</v>
      </c>
      <c r="Q37" s="26" t="n">
        <f aca="false">Tabela4[[#This Row],[Kolumna102]]*15600*0.27778</f>
        <v>0</v>
      </c>
      <c r="R37" s="47"/>
      <c r="S37" s="47"/>
      <c r="T37" s="47"/>
      <c r="U37" s="33" t="n">
        <v>1880</v>
      </c>
      <c r="V37" s="47"/>
      <c r="W37" s="24" t="s">
        <v>86</v>
      </c>
      <c r="X37" s="70" t="n">
        <v>225</v>
      </c>
      <c r="Y37" s="28"/>
      <c r="Z37" s="49" t="s">
        <v>73</v>
      </c>
      <c r="AA37" s="24" t="s">
        <v>105</v>
      </c>
      <c r="AB37" s="24" t="s">
        <v>105</v>
      </c>
      <c r="AC37" s="24" t="s">
        <v>105</v>
      </c>
      <c r="AD37" s="24" t="s">
        <v>105</v>
      </c>
      <c r="AE37" s="24" t="s">
        <v>105</v>
      </c>
      <c r="AF37" s="24" t="s">
        <v>105</v>
      </c>
      <c r="AG37" s="24" t="s">
        <v>105</v>
      </c>
      <c r="AH37" s="24" t="s">
        <v>105</v>
      </c>
      <c r="AI37" s="67" t="s">
        <v>73</v>
      </c>
      <c r="AJ37" s="66" t="s">
        <v>73</v>
      </c>
      <c r="AK37" s="31"/>
      <c r="AL37" s="71"/>
      <c r="AM37" s="31"/>
    </row>
    <row r="38" customFormat="false" ht="54" hidden="false" customHeight="true" outlineLevel="0" collapsed="false">
      <c r="A38" s="25" t="n">
        <v>31</v>
      </c>
      <c r="B38" s="25" t="s">
        <v>166</v>
      </c>
      <c r="C38" s="57" t="s">
        <v>167</v>
      </c>
      <c r="D38" s="26" t="n">
        <f aca="false">SUM(Tabela4[[#This Row],[Kolumna52]],Tabela4[[#This Row],[Kolumna62]],Tabela4[[#This Row],[Kolumna82]],Tabela4[[#This Row],[Kolumna103]],Tabela4[[#This Row],[Kolumna11]],Tabela4[[#This Row],[Kolumna112]],Tabela4[[#This Row],[Kolumna12]])/Tabela4[[#This Row],[Kolumna15]]</f>
        <v>40.625325</v>
      </c>
      <c r="E38" s="24" t="n">
        <v>0</v>
      </c>
      <c r="F38" s="47"/>
      <c r="G38" s="26" t="n">
        <f aca="false">Tabela4[[#This Row],[Kolumna5]]*20700*0.27778</f>
        <v>0</v>
      </c>
      <c r="H38" s="47"/>
      <c r="I38" s="26" t="n">
        <f aca="false">Tabela4[[#This Row],[Kolumna6]]*35.94*0.27778</f>
        <v>0</v>
      </c>
      <c r="J38" s="72"/>
      <c r="K38" s="72" t="n">
        <f aca="false">Tabela4[[#This Row],[Kolumna7]]*6.96</f>
        <v>0</v>
      </c>
      <c r="L38" s="47"/>
      <c r="M38" s="28" t="n">
        <f aca="false">Tabela4[[#This Row],[Kolumna8]]*0.000843882*40190*0.27778</f>
        <v>0</v>
      </c>
      <c r="N38" s="47"/>
      <c r="O38" s="47"/>
      <c r="P38" s="24" t="n">
        <v>3</v>
      </c>
      <c r="Q38" s="26" t="n">
        <f aca="false">Tabela4[[#This Row],[Kolumna102]]*15600*0.27778</f>
        <v>13000.104</v>
      </c>
      <c r="R38" s="47"/>
      <c r="S38" s="47"/>
      <c r="T38" s="47"/>
      <c r="U38" s="33" t="s">
        <v>86</v>
      </c>
      <c r="V38" s="47"/>
      <c r="W38" s="24" t="s">
        <v>86</v>
      </c>
      <c r="X38" s="28" t="n">
        <v>320</v>
      </c>
      <c r="Y38" s="49" t="n">
        <v>0</v>
      </c>
      <c r="Z38" s="24" t="s">
        <v>73</v>
      </c>
      <c r="AA38" s="27" t="s">
        <v>75</v>
      </c>
      <c r="AB38" s="27" t="s">
        <v>75</v>
      </c>
      <c r="AC38" s="27" t="s">
        <v>75</v>
      </c>
      <c r="AD38" s="27" t="s">
        <v>75</v>
      </c>
      <c r="AE38" s="27" t="s">
        <v>75</v>
      </c>
      <c r="AF38" s="27" t="s">
        <v>75</v>
      </c>
      <c r="AG38" s="27" t="s">
        <v>75</v>
      </c>
      <c r="AH38" s="27" t="s">
        <v>75</v>
      </c>
      <c r="AI38" s="67" t="s">
        <v>73</v>
      </c>
      <c r="AJ38" s="68"/>
      <c r="AK38" s="31"/>
      <c r="AL38" s="53"/>
      <c r="AM38" s="31"/>
    </row>
    <row r="39" customFormat="false" ht="42" hidden="false" customHeight="true" outlineLevel="0" collapsed="false">
      <c r="A39" s="40"/>
      <c r="B39" s="25"/>
      <c r="C39" s="57"/>
      <c r="D39" s="26"/>
      <c r="E39" s="24"/>
      <c r="F39" s="47"/>
      <c r="G39" s="26"/>
      <c r="H39" s="47"/>
      <c r="I39" s="26"/>
      <c r="J39" s="47"/>
      <c r="K39" s="47"/>
      <c r="L39" s="47"/>
      <c r="M39" s="28"/>
      <c r="N39" s="47"/>
      <c r="O39" s="47"/>
      <c r="P39" s="24"/>
      <c r="Q39" s="26"/>
      <c r="R39" s="47"/>
      <c r="S39" s="47"/>
      <c r="T39" s="47"/>
      <c r="U39" s="24"/>
      <c r="V39" s="47"/>
      <c r="W39" s="24"/>
      <c r="X39" s="28"/>
      <c r="Y39" s="49"/>
      <c r="Z39" s="49"/>
      <c r="AA39" s="24"/>
      <c r="AB39" s="24"/>
      <c r="AC39" s="29"/>
      <c r="AD39" s="44"/>
      <c r="AE39" s="29"/>
      <c r="AF39" s="44"/>
      <c r="AG39" s="29"/>
      <c r="AH39" s="29"/>
      <c r="AI39" s="63"/>
      <c r="AJ39" s="47"/>
      <c r="AK39" s="53"/>
      <c r="AL39" s="29"/>
      <c r="AM39" s="31"/>
    </row>
    <row r="40" customFormat="false" ht="15" hidden="false" customHeight="true" outlineLevel="0" collapsed="false">
      <c r="A40" s="73" t="s">
        <v>168</v>
      </c>
      <c r="B40" s="73"/>
      <c r="C40" s="73"/>
      <c r="D40" s="73"/>
      <c r="E40" s="74" t="n">
        <f aca="false">SUM('Budynki komunalne'!E8:E38)</f>
        <v>298010</v>
      </c>
      <c r="F40" s="75" t="n">
        <f aca="false">SUM(Tabela4[Kolumna5])</f>
        <v>0</v>
      </c>
      <c r="G40" s="76"/>
      <c r="H40" s="75" t="n">
        <f aca="false">SUM(Tabela4[Kolumna6])</f>
        <v>165711</v>
      </c>
      <c r="I40" s="76"/>
      <c r="J40" s="75" t="n">
        <f aca="false">SUM(Tabela4[Kolumna7])</f>
        <v>0</v>
      </c>
      <c r="K40" s="76"/>
      <c r="L40" s="75" t="n">
        <f aca="false">SUM(Tabela4[Kolumna8])</f>
        <v>0</v>
      </c>
      <c r="M40" s="76"/>
      <c r="N40" s="77" t="n">
        <f aca="false">SUM(Tabela4[Kolumna9])</f>
        <v>0</v>
      </c>
      <c r="O40" s="77"/>
      <c r="P40" s="77" t="n">
        <f aca="false">SUM(Tabela4[Kolumna102])</f>
        <v>3</v>
      </c>
      <c r="Q40" s="76"/>
      <c r="R40" s="77" t="n">
        <f aca="false">SUM(Tabela4[Kolumna11])</f>
        <v>0</v>
      </c>
      <c r="S40" s="77" t="n">
        <f aca="false">SUM(Tabela4[Kolumna112])</f>
        <v>0</v>
      </c>
      <c r="T40" s="77" t="n">
        <f aca="false">SUM(Tabela4[Kolumna12])</f>
        <v>0</v>
      </c>
      <c r="U40" s="78" t="s">
        <v>169</v>
      </c>
      <c r="V40" s="78"/>
      <c r="W40" s="78"/>
      <c r="X40" s="79" t="n">
        <f aca="false">SUM(Tabela4[Kolumna15])</f>
        <v>24869.55</v>
      </c>
    </row>
    <row r="41" customFormat="false" ht="15" hidden="false" customHeight="false" outlineLevel="0" collapsed="false">
      <c r="A41" s="80" t="s">
        <v>170</v>
      </c>
      <c r="B41" s="80"/>
      <c r="C41" s="80"/>
      <c r="D41" s="80"/>
      <c r="E41" s="81" t="n">
        <f aca="false">E47*E42</f>
        <v>241.98412</v>
      </c>
      <c r="F41" s="81" t="n">
        <f aca="false">F47*F42</f>
        <v>0</v>
      </c>
      <c r="G41" s="82"/>
      <c r="H41" s="83" t="n">
        <f aca="false">H47*H42</f>
        <v>332.526638341825</v>
      </c>
      <c r="I41" s="82"/>
      <c r="J41" s="81" t="n">
        <f aca="false">J42*J47</f>
        <v>0</v>
      </c>
      <c r="K41" s="82"/>
      <c r="L41" s="81" t="n">
        <f aca="false">L47*L42</f>
        <v>0</v>
      </c>
      <c r="M41" s="82"/>
      <c r="N41" s="82"/>
      <c r="O41" s="84"/>
      <c r="P41" s="81" t="n">
        <f aca="false">P42*P47</f>
        <v>0</v>
      </c>
      <c r="Q41" s="82"/>
      <c r="R41" s="81" t="n">
        <f aca="false">R47*R42</f>
        <v>0</v>
      </c>
      <c r="S41" s="81" t="n">
        <f aca="false">S42*S47</f>
        <v>0</v>
      </c>
      <c r="T41" s="81" t="n">
        <f aca="false">T42*T47</f>
        <v>0</v>
      </c>
      <c r="U41" s="78" t="s">
        <v>171</v>
      </c>
      <c r="V41" s="78"/>
      <c r="W41" s="78"/>
      <c r="X41" s="79" t="n">
        <f aca="false">E40/X40</f>
        <v>11.9829269126301</v>
      </c>
    </row>
    <row r="42" customFormat="false" ht="15" hidden="false" customHeight="false" outlineLevel="0" collapsed="false">
      <c r="A42" s="85" t="s">
        <v>172</v>
      </c>
      <c r="B42" s="85"/>
      <c r="C42" s="85"/>
      <c r="D42" s="85"/>
      <c r="E42" s="86" t="n">
        <v>0.812</v>
      </c>
      <c r="F42" s="86" t="n">
        <v>0.334</v>
      </c>
      <c r="G42" s="87"/>
      <c r="H42" s="86" t="n">
        <v>0.201</v>
      </c>
      <c r="I42" s="87"/>
      <c r="J42" s="86" t="n">
        <v>0.225</v>
      </c>
      <c r="K42" s="87"/>
      <c r="L42" s="86" t="n">
        <v>0.276</v>
      </c>
      <c r="M42" s="87"/>
      <c r="N42" s="87"/>
      <c r="O42" s="86"/>
      <c r="P42" s="86" t="n">
        <v>0</v>
      </c>
      <c r="Q42" s="87"/>
      <c r="R42" s="86" t="n">
        <f aca="false">(H42*0.25)+(0.75*0)</f>
        <v>0.05025</v>
      </c>
      <c r="S42" s="88" t="n">
        <v>0</v>
      </c>
      <c r="T42" s="88" t="n">
        <v>0</v>
      </c>
      <c r="U42" s="78" t="s">
        <v>173</v>
      </c>
      <c r="V42" s="78"/>
      <c r="W42" s="78"/>
      <c r="X42" s="79" t="n">
        <f aca="false">SUM(F47:T47)/X40</f>
        <v>0.0670442966915445</v>
      </c>
    </row>
    <row r="43" customFormat="false" ht="15" hidden="false" customHeight="true" outlineLevel="0" collapsed="false">
      <c r="A43" s="89" t="s">
        <v>174</v>
      </c>
      <c r="B43" s="89"/>
      <c r="C43" s="89"/>
      <c r="D43" s="90"/>
      <c r="E43" s="91"/>
      <c r="F43" s="92" t="n">
        <v>20700</v>
      </c>
      <c r="G43" s="91"/>
      <c r="H43" s="92" t="n">
        <v>35.94</v>
      </c>
      <c r="I43" s="91"/>
      <c r="J43" s="91"/>
      <c r="K43" s="91"/>
      <c r="L43" s="92" t="n">
        <v>40190</v>
      </c>
      <c r="M43" s="91"/>
      <c r="N43" s="91"/>
      <c r="O43" s="92"/>
      <c r="P43" s="92" t="n">
        <v>15600</v>
      </c>
      <c r="Q43" s="91"/>
      <c r="R43" s="91"/>
      <c r="S43" s="93"/>
      <c r="T43" s="93"/>
      <c r="U43" s="78" t="s">
        <v>175</v>
      </c>
      <c r="V43" s="78"/>
      <c r="W43" s="78"/>
      <c r="X43" s="79" t="n">
        <f aca="false">SUM(E47:T47)/X40</f>
        <v>0.0790272236041746</v>
      </c>
    </row>
    <row r="44" customFormat="false" ht="14.25" hidden="false" customHeight="true" outlineLevel="0" collapsed="false">
      <c r="A44" s="89" t="s">
        <v>176</v>
      </c>
      <c r="B44" s="89"/>
      <c r="C44" s="89"/>
      <c r="D44" s="90"/>
      <c r="E44" s="91"/>
      <c r="F44" s="91"/>
      <c r="G44" s="91"/>
      <c r="H44" s="91"/>
      <c r="I44" s="91"/>
      <c r="J44" s="94" t="n">
        <v>6.96</v>
      </c>
      <c r="K44" s="95"/>
      <c r="L44" s="92" t="n">
        <v>0.0008438819</v>
      </c>
      <c r="M44" s="91"/>
      <c r="N44" s="91"/>
      <c r="O44" s="91"/>
      <c r="P44" s="91"/>
      <c r="Q44" s="91"/>
      <c r="R44" s="91"/>
      <c r="S44" s="93"/>
      <c r="T44" s="93"/>
    </row>
    <row r="45" customFormat="false" ht="14.25" hidden="false" customHeight="true" outlineLevel="0" collapsed="false">
      <c r="A45" s="89" t="s">
        <v>177</v>
      </c>
      <c r="B45" s="89"/>
      <c r="C45" s="89"/>
      <c r="D45" s="90"/>
      <c r="E45" s="91"/>
      <c r="F45" s="92" t="n">
        <f aca="false">F40</f>
        <v>0</v>
      </c>
      <c r="G45" s="91"/>
      <c r="H45" s="91"/>
      <c r="I45" s="91"/>
      <c r="J45" s="91"/>
      <c r="K45" s="91"/>
      <c r="L45" s="92" t="n">
        <f aca="false">L40*L44</f>
        <v>0</v>
      </c>
      <c r="M45" s="91"/>
      <c r="N45" s="91"/>
      <c r="O45" s="92"/>
      <c r="P45" s="92" t="n">
        <f aca="false">P40</f>
        <v>3</v>
      </c>
      <c r="Q45" s="91"/>
      <c r="R45" s="91"/>
      <c r="S45" s="93"/>
      <c r="T45" s="93"/>
    </row>
    <row r="46" customFormat="false" ht="14.25" hidden="false" customHeight="true" outlineLevel="0" collapsed="false">
      <c r="A46" s="89" t="s">
        <v>178</v>
      </c>
      <c r="B46" s="89"/>
      <c r="C46" s="89"/>
      <c r="D46" s="90"/>
      <c r="E46" s="91"/>
      <c r="F46" s="92" t="n">
        <f aca="false">F40*F43</f>
        <v>0</v>
      </c>
      <c r="G46" s="91"/>
      <c r="H46" s="92" t="n">
        <f aca="false">H40*H43</f>
        <v>5955653.34</v>
      </c>
      <c r="I46" s="91"/>
      <c r="J46" s="91"/>
      <c r="K46" s="91"/>
      <c r="L46" s="92" t="n">
        <f aca="false">L45*L43</f>
        <v>0</v>
      </c>
      <c r="M46" s="91"/>
      <c r="N46" s="91"/>
      <c r="O46" s="92"/>
      <c r="P46" s="92" t="n">
        <f aca="false">P40*P43</f>
        <v>46800</v>
      </c>
      <c r="Q46" s="91"/>
      <c r="R46" s="91"/>
      <c r="S46" s="93"/>
      <c r="T46" s="93"/>
    </row>
    <row r="47" customFormat="false" ht="14.25" hidden="false" customHeight="true" outlineLevel="0" collapsed="false">
      <c r="A47" s="96" t="s">
        <v>179</v>
      </c>
      <c r="B47" s="96"/>
      <c r="C47" s="96"/>
      <c r="D47" s="97"/>
      <c r="E47" s="98" t="n">
        <f aca="false">E40*0.001</f>
        <v>298.01</v>
      </c>
      <c r="F47" s="98" t="n">
        <f aca="false">F46*0.00027778</f>
        <v>0</v>
      </c>
      <c r="G47" s="99"/>
      <c r="H47" s="98" t="n">
        <f aca="false">H46*0.00027778</f>
        <v>1654.3613847852</v>
      </c>
      <c r="I47" s="99"/>
      <c r="J47" s="100" t="n">
        <f aca="false">J40*J44*0.001</f>
        <v>0</v>
      </c>
      <c r="K47" s="101"/>
      <c r="L47" s="98" t="n">
        <f aca="false">L46*0.00027778</f>
        <v>0</v>
      </c>
      <c r="M47" s="99"/>
      <c r="N47" s="101"/>
      <c r="O47" s="102"/>
      <c r="P47" s="98" t="n">
        <f aca="false">P46*0.00027778</f>
        <v>13.000104</v>
      </c>
      <c r="Q47" s="99"/>
      <c r="R47" s="98" t="n">
        <f aca="false">R40*0.2777777778</f>
        <v>0</v>
      </c>
      <c r="S47" s="100" t="n">
        <f aca="false">S40*0.001</f>
        <v>0</v>
      </c>
      <c r="T47" s="100" t="n">
        <f aca="false">T40*0.001</f>
        <v>0</v>
      </c>
    </row>
  </sheetData>
  <mergeCells count="34">
    <mergeCell ref="A3:Z3"/>
    <mergeCell ref="A4:A6"/>
    <mergeCell ref="B4:B6"/>
    <mergeCell ref="C4:C6"/>
    <mergeCell ref="D4:D6"/>
    <mergeCell ref="E4:E5"/>
    <mergeCell ref="F4:N4"/>
    <mergeCell ref="P4:T4"/>
    <mergeCell ref="U4:U6"/>
    <mergeCell ref="V4:V6"/>
    <mergeCell ref="W4:W5"/>
    <mergeCell ref="X4:X5"/>
    <mergeCell ref="Y4:Y6"/>
    <mergeCell ref="Z4:Z5"/>
    <mergeCell ref="F5:G5"/>
    <mergeCell ref="H5:I5"/>
    <mergeCell ref="J5:K5"/>
    <mergeCell ref="L5:M5"/>
    <mergeCell ref="O5:P5"/>
    <mergeCell ref="AA5:AH5"/>
    <mergeCell ref="AI5:AJ5"/>
    <mergeCell ref="AK5:AM5"/>
    <mergeCell ref="A40:D40"/>
    <mergeCell ref="U40:W40"/>
    <mergeCell ref="A41:D41"/>
    <mergeCell ref="U41:W41"/>
    <mergeCell ref="A42:D42"/>
    <mergeCell ref="U42:W42"/>
    <mergeCell ref="A43:C43"/>
    <mergeCell ref="U43:W43"/>
    <mergeCell ref="A44:C44"/>
    <mergeCell ref="A45:C45"/>
    <mergeCell ref="A46:C46"/>
    <mergeCell ref="A47:C4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363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pane xSplit="3" ySplit="4" topLeftCell="H337" activePane="bottomRight" state="frozen"/>
      <selection pane="topLeft" activeCell="A3" activeCellId="0" sqref="A3"/>
      <selection pane="topRight" activeCell="H3" activeCellId="0" sqref="H3"/>
      <selection pane="bottomLeft" activeCell="A337" activeCellId="0" sqref="A337"/>
      <selection pane="bottomRight" activeCell="P364" activeCellId="0" sqref="P364"/>
    </sheetView>
  </sheetViews>
  <sheetFormatPr defaultRowHeight="14.25" zeroHeight="false" outlineLevelRow="0" outlineLevelCol="0"/>
  <cols>
    <col collapsed="false" customWidth="true" hidden="false" outlineLevel="0" max="1" min="1" style="1" width="6.75"/>
    <col collapsed="false" customWidth="true" hidden="false" outlineLevel="0" max="2" min="2" style="2" width="31.25"/>
    <col collapsed="false" customWidth="true" hidden="false" outlineLevel="0" max="3" min="3" style="0" width="30.38"/>
    <col collapsed="false" customWidth="true" hidden="true" outlineLevel="0" max="4" min="4" style="3" width="17.25"/>
    <col collapsed="false" customWidth="true" hidden="false" outlineLevel="0" max="6" min="5" style="3" width="15.38"/>
    <col collapsed="false" customWidth="true" hidden="true" outlineLevel="0" max="7" min="7" style="3" width="15.25"/>
    <col collapsed="false" customWidth="true" hidden="false" outlineLevel="0" max="9" min="8" style="0" width="20.62"/>
    <col collapsed="false" customWidth="true" hidden="false" outlineLevel="0" max="10" min="10" style="0" width="12.63"/>
    <col collapsed="false" customWidth="true" hidden="false" outlineLevel="0" max="11" min="11" style="0" width="12.5"/>
    <col collapsed="false" customWidth="true" hidden="false" outlineLevel="0" max="13" min="12" style="0" width="13.63"/>
    <col collapsed="false" customWidth="true" hidden="false" outlineLevel="0" max="15" min="14" style="0" width="14.13"/>
    <col collapsed="false" customWidth="true" hidden="false" outlineLevel="0" max="16" min="16" style="0" width="15.51"/>
    <col collapsed="false" customWidth="true" hidden="true" outlineLevel="0" max="17" min="17" style="0" width="11.38"/>
    <col collapsed="false" customWidth="true" hidden="false" outlineLevel="0" max="18" min="18" style="0" width="11.38"/>
    <col collapsed="false" customWidth="true" hidden="false" outlineLevel="0" max="20" min="19" style="0" width="13.63"/>
    <col collapsed="false" customWidth="true" hidden="false" outlineLevel="0" max="24" min="21" style="0" width="13"/>
    <col collapsed="false" customWidth="true" hidden="false" outlineLevel="0" max="25" min="25" style="0" width="12.63"/>
    <col collapsed="false" customWidth="true" hidden="false" outlineLevel="0" max="26" min="26" style="0" width="13"/>
    <col collapsed="false" customWidth="true" hidden="false" outlineLevel="0" max="29" min="27" style="0" width="18"/>
    <col collapsed="false" customWidth="true" hidden="false" outlineLevel="0" max="30" min="30" style="0" width="19.87"/>
    <col collapsed="false" customWidth="true" hidden="false" outlineLevel="0" max="32" min="31" style="0" width="13.75"/>
    <col collapsed="false" customWidth="true" hidden="false" outlineLevel="0" max="34" min="33" style="0" width="11.25"/>
    <col collapsed="false" customWidth="true" hidden="false" outlineLevel="0" max="38" min="35" style="0" width="10.5"/>
    <col collapsed="false" customWidth="true" hidden="false" outlineLevel="0" max="39" min="39" style="0" width="11.13"/>
    <col collapsed="false" customWidth="true" hidden="false" outlineLevel="0" max="40" min="40" style="0" width="12.5"/>
    <col collapsed="false" customWidth="true" hidden="false" outlineLevel="0" max="41" min="41" style="0" width="11.38"/>
    <col collapsed="false" customWidth="true" hidden="false" outlineLevel="0" max="42" min="42" style="0" width="14.62"/>
    <col collapsed="false" customWidth="true" hidden="false" outlineLevel="0" max="43" min="43" style="0" width="15.13"/>
    <col collapsed="false" customWidth="true" hidden="false" outlineLevel="0" max="44" min="44" style="0" width="19"/>
    <col collapsed="false" customWidth="true" hidden="false" outlineLevel="0" max="45" min="45" style="0" width="16.62"/>
    <col collapsed="false" customWidth="true" hidden="false" outlineLevel="0" max="46" min="46" style="0" width="24.62"/>
    <col collapsed="false" customWidth="true" hidden="false" outlineLevel="0" max="58" min="47" style="0" width="8.61"/>
    <col collapsed="false" customWidth="true" hidden="false" outlineLevel="0" max="59" min="59" style="0" width="22.63"/>
    <col collapsed="false" customWidth="true" hidden="false" outlineLevel="0" max="1025" min="60" style="0" width="8.61"/>
  </cols>
  <sheetData>
    <row r="1" customFormat="false" ht="15" hidden="false" customHeight="false" outlineLevel="0" collapsed="false"/>
    <row r="2" customFormat="false" ht="16.5" hidden="false" customHeight="false" outlineLevel="0" collapsed="false">
      <c r="A2" s="4" t="s">
        <v>0</v>
      </c>
      <c r="B2" s="5"/>
      <c r="C2" s="4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19.5" hidden="false" customHeight="false" outlineLevel="0" collapsed="false">
      <c r="A3" s="7" t="s">
        <v>180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="2" customFormat="true" ht="16.5" hidden="false" customHeight="true" outlineLevel="0" collapsed="false">
      <c r="A4" s="8" t="s">
        <v>2</v>
      </c>
      <c r="B4" s="8" t="s">
        <v>181</v>
      </c>
      <c r="C4" s="8" t="s">
        <v>182</v>
      </c>
      <c r="D4" s="9" t="s">
        <v>183</v>
      </c>
      <c r="E4" s="103" t="s">
        <v>184</v>
      </c>
      <c r="F4" s="104"/>
      <c r="G4" s="9" t="s">
        <v>185</v>
      </c>
      <c r="H4" s="8" t="s">
        <v>7</v>
      </c>
      <c r="I4" s="8"/>
      <c r="J4" s="8"/>
      <c r="K4" s="8"/>
      <c r="L4" s="8"/>
      <c r="M4" s="8"/>
      <c r="N4" s="8"/>
      <c r="O4" s="8"/>
      <c r="P4" s="8"/>
      <c r="Q4" s="8"/>
      <c r="R4" s="8" t="s">
        <v>186</v>
      </c>
      <c r="S4" s="8"/>
      <c r="T4" s="8"/>
      <c r="U4" s="8"/>
      <c r="V4" s="8"/>
      <c r="W4" s="8"/>
      <c r="X4" s="8"/>
      <c r="Y4" s="8"/>
      <c r="Z4" s="105"/>
      <c r="AA4" s="106" t="s">
        <v>187</v>
      </c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7"/>
      <c r="AR4" s="107"/>
      <c r="AS4" s="107"/>
      <c r="AT4" s="107"/>
    </row>
    <row r="5" s="2" customFormat="true" ht="46.5" hidden="false" customHeight="true" outlineLevel="0" collapsed="false">
      <c r="A5" s="8"/>
      <c r="B5" s="8"/>
      <c r="C5" s="8"/>
      <c r="D5" s="9"/>
      <c r="E5" s="103"/>
      <c r="F5" s="5" t="s">
        <v>188</v>
      </c>
      <c r="G5" s="9" t="s">
        <v>185</v>
      </c>
      <c r="H5" s="8" t="s">
        <v>14</v>
      </c>
      <c r="I5" s="8"/>
      <c r="J5" s="5" t="s">
        <v>189</v>
      </c>
      <c r="K5" s="8" t="s">
        <v>17</v>
      </c>
      <c r="L5" s="8"/>
      <c r="M5" s="5" t="s">
        <v>15</v>
      </c>
      <c r="N5" s="8" t="s">
        <v>15</v>
      </c>
      <c r="O5" s="8"/>
      <c r="P5" s="5" t="s">
        <v>190</v>
      </c>
      <c r="Q5" s="5" t="s">
        <v>18</v>
      </c>
      <c r="R5" s="8" t="s">
        <v>191</v>
      </c>
      <c r="S5" s="8"/>
      <c r="T5" s="8"/>
      <c r="U5" s="5" t="s">
        <v>22</v>
      </c>
      <c r="V5" s="5" t="s">
        <v>192</v>
      </c>
      <c r="W5" s="5" t="s">
        <v>193</v>
      </c>
      <c r="X5" s="5" t="s">
        <v>194</v>
      </c>
      <c r="Y5" s="5" t="s">
        <v>194</v>
      </c>
      <c r="Z5" s="108" t="s">
        <v>194</v>
      </c>
      <c r="AA5" s="106" t="s">
        <v>195</v>
      </c>
      <c r="AB5" s="106"/>
      <c r="AC5" s="106"/>
      <c r="AD5" s="106" t="s">
        <v>196</v>
      </c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 t="s">
        <v>197</v>
      </c>
      <c r="AQ5" s="107"/>
      <c r="AR5" s="107"/>
      <c r="AS5" s="107"/>
      <c r="AT5" s="107"/>
    </row>
    <row r="6" s="2" customFormat="true" ht="56.25" hidden="false" customHeight="true" outlineLevel="0" collapsed="false">
      <c r="A6" s="8"/>
      <c r="B6" s="8"/>
      <c r="C6" s="8"/>
      <c r="D6" s="9"/>
      <c r="E6" s="5" t="s">
        <v>30</v>
      </c>
      <c r="F6" s="5" t="s">
        <v>198</v>
      </c>
      <c r="G6" s="9"/>
      <c r="H6" s="5" t="s">
        <v>27</v>
      </c>
      <c r="I6" s="5" t="s">
        <v>26</v>
      </c>
      <c r="J6" s="5" t="s">
        <v>26</v>
      </c>
      <c r="K6" s="5" t="s">
        <v>29</v>
      </c>
      <c r="L6" s="5" t="s">
        <v>26</v>
      </c>
      <c r="M6" s="5" t="s">
        <v>199</v>
      </c>
      <c r="N6" s="5" t="s">
        <v>28</v>
      </c>
      <c r="O6" s="5" t="s">
        <v>26</v>
      </c>
      <c r="P6" s="5" t="s">
        <v>200</v>
      </c>
      <c r="Q6" s="5"/>
      <c r="R6" s="5" t="s">
        <v>28</v>
      </c>
      <c r="S6" s="5" t="s">
        <v>27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201</v>
      </c>
      <c r="Y6" s="5" t="s">
        <v>199</v>
      </c>
      <c r="Z6" s="5" t="s">
        <v>202</v>
      </c>
      <c r="AA6" s="106"/>
      <c r="AB6" s="106" t="s">
        <v>203</v>
      </c>
      <c r="AC6" s="106" t="s">
        <v>204</v>
      </c>
      <c r="AD6" s="106" t="s">
        <v>205</v>
      </c>
      <c r="AE6" s="109" t="s">
        <v>206</v>
      </c>
      <c r="AF6" s="109" t="s">
        <v>207</v>
      </c>
      <c r="AG6" s="110" t="s">
        <v>208</v>
      </c>
      <c r="AH6" s="110" t="s">
        <v>209</v>
      </c>
      <c r="AI6" s="109" t="s">
        <v>210</v>
      </c>
      <c r="AJ6" s="109" t="s">
        <v>211</v>
      </c>
      <c r="AK6" s="109" t="s">
        <v>212</v>
      </c>
      <c r="AL6" s="109" t="s">
        <v>213</v>
      </c>
      <c r="AM6" s="109" t="s">
        <v>214</v>
      </c>
      <c r="AN6" s="110" t="s">
        <v>215</v>
      </c>
      <c r="AO6" s="109" t="s">
        <v>216</v>
      </c>
      <c r="AP6" s="106" t="s">
        <v>217</v>
      </c>
      <c r="AQ6" s="111" t="s">
        <v>218</v>
      </c>
      <c r="AR6" s="112" t="s">
        <v>219</v>
      </c>
      <c r="AS6" s="112" t="s">
        <v>220</v>
      </c>
      <c r="AT6" s="112" t="s">
        <v>18</v>
      </c>
    </row>
    <row r="7" s="2" customFormat="true" ht="30" hidden="false" customHeight="false" outlineLevel="0" collapsed="false">
      <c r="A7" s="19" t="s">
        <v>45</v>
      </c>
      <c r="B7" s="20" t="s">
        <v>46</v>
      </c>
      <c r="C7" s="21" t="s">
        <v>47</v>
      </c>
      <c r="D7" s="113" t="s">
        <v>48</v>
      </c>
      <c r="E7" s="22" t="s">
        <v>221</v>
      </c>
      <c r="F7" s="22" t="s">
        <v>222</v>
      </c>
      <c r="G7" s="22" t="s">
        <v>223</v>
      </c>
      <c r="H7" s="23" t="s">
        <v>50</v>
      </c>
      <c r="I7" s="23" t="s">
        <v>52</v>
      </c>
      <c r="J7" s="23" t="s">
        <v>54</v>
      </c>
      <c r="K7" s="23" t="s">
        <v>56</v>
      </c>
      <c r="L7" s="23" t="s">
        <v>224</v>
      </c>
      <c r="M7" s="23" t="s">
        <v>225</v>
      </c>
      <c r="N7" s="23" t="s">
        <v>57</v>
      </c>
      <c r="O7" s="23" t="s">
        <v>226</v>
      </c>
      <c r="P7" s="23" t="s">
        <v>227</v>
      </c>
      <c r="Q7" s="23" t="s">
        <v>58</v>
      </c>
      <c r="R7" s="23" t="s">
        <v>228</v>
      </c>
      <c r="S7" s="23" t="s">
        <v>59</v>
      </c>
      <c r="T7" s="23" t="s">
        <v>62</v>
      </c>
      <c r="U7" s="23" t="s">
        <v>64</v>
      </c>
      <c r="V7" s="23" t="s">
        <v>229</v>
      </c>
      <c r="W7" s="23" t="s">
        <v>230</v>
      </c>
      <c r="X7" s="23" t="s">
        <v>231</v>
      </c>
      <c r="Y7" s="23" t="s">
        <v>232</v>
      </c>
      <c r="Z7" s="23" t="s">
        <v>233</v>
      </c>
      <c r="AA7" s="44" t="s">
        <v>46</v>
      </c>
      <c r="AB7" s="44" t="s">
        <v>234</v>
      </c>
      <c r="AC7" s="44" t="s">
        <v>47</v>
      </c>
      <c r="AD7" s="44" t="s">
        <v>235</v>
      </c>
      <c r="AE7" s="44" t="s">
        <v>45</v>
      </c>
      <c r="AF7" s="44" t="s">
        <v>64</v>
      </c>
      <c r="AG7" s="44" t="s">
        <v>236</v>
      </c>
      <c r="AH7" s="44" t="s">
        <v>237</v>
      </c>
      <c r="AI7" s="44" t="s">
        <v>221</v>
      </c>
      <c r="AJ7" s="44" t="s">
        <v>223</v>
      </c>
      <c r="AK7" s="44" t="s">
        <v>48</v>
      </c>
      <c r="AL7" s="44" t="s">
        <v>238</v>
      </c>
      <c r="AM7" s="44" t="s">
        <v>239</v>
      </c>
      <c r="AN7" s="44" t="s">
        <v>50</v>
      </c>
      <c r="AO7" s="44" t="s">
        <v>53</v>
      </c>
      <c r="AP7" s="44" t="s">
        <v>240</v>
      </c>
      <c r="AQ7" s="23" t="s">
        <v>45</v>
      </c>
      <c r="AR7" s="23" t="s">
        <v>46</v>
      </c>
      <c r="AS7" s="23" t="s">
        <v>47</v>
      </c>
      <c r="AT7" s="23" t="s">
        <v>49</v>
      </c>
    </row>
    <row r="8" customFormat="false" ht="33.75" hidden="false" customHeight="true" outlineLevel="0" collapsed="false">
      <c r="A8" s="25" t="n">
        <v>1</v>
      </c>
      <c r="B8" s="24" t="s">
        <v>241</v>
      </c>
      <c r="C8" s="24" t="s">
        <v>242</v>
      </c>
      <c r="D8" s="114"/>
      <c r="E8" s="115" t="n">
        <v>100</v>
      </c>
      <c r="F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625.505004</v>
      </c>
      <c r="G8" s="116"/>
      <c r="H8" s="115" t="n">
        <v>5</v>
      </c>
      <c r="I8" s="26" t="n">
        <f aca="false">Tabela43[[#This Row],[Kolumna5]]*20700*0.27778</f>
        <v>28750.23</v>
      </c>
      <c r="J8" s="116"/>
      <c r="K8" s="116"/>
      <c r="L8" s="28" t="n">
        <f aca="false">Tabela43[[#This Row],[Kolumna8]]*0.000843882*40190*0.27778</f>
        <v>0</v>
      </c>
      <c r="M8" s="116"/>
      <c r="N8" s="116"/>
      <c r="O8" s="28" t="n">
        <f aca="false">Tabela43[[#This Row],[Kolumna82]]*35.94*0.27778</f>
        <v>0</v>
      </c>
      <c r="P8" s="116"/>
      <c r="Q8" s="116"/>
      <c r="R8" s="116" t="n">
        <v>12</v>
      </c>
      <c r="S8" s="116" t="n">
        <f aca="false">Tabela43[[#This Row],[Kolumna92]]*0.65</f>
        <v>7.8</v>
      </c>
      <c r="T8" s="28" t="n">
        <f aca="false">Tabela43[[#This Row],[Kolumna10]]*15600*0.27778</f>
        <v>33800.2704</v>
      </c>
      <c r="U8" s="117"/>
      <c r="V8" s="116"/>
      <c r="W8" s="116"/>
      <c r="X8" s="116"/>
      <c r="Y8" s="116"/>
      <c r="Z8" s="28" t="n">
        <v>3600</v>
      </c>
      <c r="AA8" s="118" t="n">
        <v>0</v>
      </c>
      <c r="AB8" s="118"/>
      <c r="AC8" s="118"/>
      <c r="AD8" s="119"/>
      <c r="AE8" s="120" t="n">
        <f aca="false">Tabela54[[#This Row],[Kolumna23]]*Tabela54[[#This Row],[Kolumna63]]</f>
        <v>0</v>
      </c>
      <c r="AF8" s="120"/>
      <c r="AG8" s="119"/>
      <c r="AH8" s="119"/>
      <c r="AI8" s="119" t="n">
        <f aca="false">Tabela54[[#This Row],[Kolumna223]]*Tabela54[[#This Row],[Kolumna63]]</f>
        <v>0</v>
      </c>
      <c r="AJ8" s="119"/>
      <c r="AK8" s="119"/>
      <c r="AL8" s="119"/>
      <c r="AM8" s="119" t="n">
        <f aca="false">Tabela54[[#This Row],[Kolumna322]]*Tabela54[[#This Row],[Kolumna63]]</f>
        <v>0</v>
      </c>
      <c r="AN8" s="119"/>
      <c r="AO8" s="119" t="n">
        <f aca="false">Tabela54[[#This Row],[Kolumna5]]*Tabela54[[#This Row],[Kolumna63]]</f>
        <v>0</v>
      </c>
      <c r="AP8" s="121"/>
      <c r="AQ8" s="29" t="s">
        <v>243</v>
      </c>
      <c r="AR8" s="29" t="s">
        <v>243</v>
      </c>
      <c r="AS8" s="29" t="s">
        <v>243</v>
      </c>
      <c r="AT8" s="29"/>
    </row>
    <row r="9" customFormat="false" ht="35.25" hidden="false" customHeight="true" outlineLevel="0" collapsed="false">
      <c r="A9" s="40" t="n">
        <v>2</v>
      </c>
      <c r="B9" s="27" t="s">
        <v>241</v>
      </c>
      <c r="C9" s="24" t="s">
        <v>242</v>
      </c>
      <c r="D9" s="114"/>
      <c r="E9" s="115" t="n">
        <v>90</v>
      </c>
      <c r="F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252.316833333333</v>
      </c>
      <c r="G9" s="116"/>
      <c r="H9" s="115" t="n">
        <v>1.5</v>
      </c>
      <c r="I9" s="26" t="n">
        <f aca="false">Tabela43[[#This Row],[Kolumna5]]*20700*0.27778</f>
        <v>8625.069</v>
      </c>
      <c r="J9" s="115"/>
      <c r="K9" s="115"/>
      <c r="L9" s="28" t="n">
        <f aca="false">Tabela43[[#This Row],[Kolumna8]]*0.000843882*40190*0.27778</f>
        <v>0</v>
      </c>
      <c r="M9" s="115"/>
      <c r="N9" s="115"/>
      <c r="O9" s="28" t="n">
        <f aca="false">Tabela43[[#This Row],[Kolumna82]]*35.94*0.27778</f>
        <v>0</v>
      </c>
      <c r="P9" s="115" t="n">
        <v>7</v>
      </c>
      <c r="Q9" s="115"/>
      <c r="R9" s="115" t="n">
        <v>5</v>
      </c>
      <c r="S9" s="116" t="n">
        <f aca="false">Tabela43[[#This Row],[Kolumna92]]*0.65</f>
        <v>3.25</v>
      </c>
      <c r="T9" s="28" t="n">
        <f aca="false">Tabela43[[#This Row],[Kolumna10]]*15600*0.27778</f>
        <v>14083.446</v>
      </c>
      <c r="U9" s="115"/>
      <c r="V9" s="115"/>
      <c r="W9" s="115"/>
      <c r="X9" s="115"/>
      <c r="Y9" s="115"/>
      <c r="Z9" s="28" t="n">
        <v>1200</v>
      </c>
      <c r="AA9" s="118" t="n">
        <v>1</v>
      </c>
      <c r="AB9" s="118"/>
      <c r="AC9" s="118"/>
      <c r="AD9" s="119"/>
      <c r="AE9" s="120" t="n">
        <f aca="false">Tabela54[[#This Row],[Kolumna23]]*Tabela54[[#This Row],[Kolumna63]]</f>
        <v>0</v>
      </c>
      <c r="AF9" s="120"/>
      <c r="AG9" s="119"/>
      <c r="AH9" s="119"/>
      <c r="AI9" s="119" t="n">
        <f aca="false">Tabela54[[#This Row],[Kolumna223]]*Tabela54[[#This Row],[Kolumna63]]</f>
        <v>0</v>
      </c>
      <c r="AJ9" s="119"/>
      <c r="AK9" s="122"/>
      <c r="AL9" s="122" t="n">
        <v>700</v>
      </c>
      <c r="AM9" s="119" t="n">
        <f aca="false">Tabela54[[#This Row],[Kolumna322]]*Tabela54[[#This Row],[Kolumna63]]</f>
        <v>140</v>
      </c>
      <c r="AN9" s="122"/>
      <c r="AO9" s="122" t="n">
        <f aca="false">Tabela54[[#This Row],[Kolumna5]]*Tabela54[[#This Row],[Kolumna63]]</f>
        <v>0</v>
      </c>
      <c r="AP9" s="123" t="n">
        <v>0.2</v>
      </c>
      <c r="AQ9" s="29" t="s">
        <v>243</v>
      </c>
      <c r="AR9" s="124" t="s">
        <v>243</v>
      </c>
      <c r="AS9" s="29" t="s">
        <v>243</v>
      </c>
      <c r="AT9" s="29"/>
    </row>
    <row r="10" customFormat="false" ht="38.25" hidden="false" customHeight="true" outlineLevel="0" collapsed="false">
      <c r="A10" s="25" t="n">
        <v>3</v>
      </c>
      <c r="B10" s="27" t="s">
        <v>241</v>
      </c>
      <c r="C10" s="24" t="s">
        <v>242</v>
      </c>
      <c r="D10" s="114"/>
      <c r="E10" s="115" t="n">
        <v>120</v>
      </c>
      <c r="F1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214.16838</v>
      </c>
      <c r="G10" s="116"/>
      <c r="H10" s="115" t="n">
        <v>3</v>
      </c>
      <c r="I10" s="26" t="n">
        <f aca="false">Tabela43[[#This Row],[Kolumna5]]*20700*0.27778</f>
        <v>17250.138</v>
      </c>
      <c r="J10" s="115"/>
      <c r="K10" s="115"/>
      <c r="L10" s="28" t="n">
        <f aca="false">Tabela43[[#This Row],[Kolumna8]]*0.000843882*40190*0.27778</f>
        <v>0</v>
      </c>
      <c r="M10" s="115"/>
      <c r="N10" s="115"/>
      <c r="O10" s="28" t="n">
        <f aca="false">Tabela43[[#This Row],[Kolumna82]]*35.94*0.27778</f>
        <v>0</v>
      </c>
      <c r="P10" s="115"/>
      <c r="Q10" s="115"/>
      <c r="R10" s="115" t="n">
        <v>3</v>
      </c>
      <c r="S10" s="116" t="n">
        <f aca="false">Tabela43[[#This Row],[Kolumna92]]*0.65</f>
        <v>1.95</v>
      </c>
      <c r="T10" s="28" t="n">
        <f aca="false">Tabela43[[#This Row],[Kolumna10]]*15600*0.27778</f>
        <v>8450.0676</v>
      </c>
      <c r="U10" s="115"/>
      <c r="V10" s="115"/>
      <c r="W10" s="115"/>
      <c r="X10" s="115"/>
      <c r="Y10" s="115"/>
      <c r="Z10" s="28" t="n">
        <v>2200</v>
      </c>
      <c r="AA10" s="125" t="n">
        <v>1</v>
      </c>
      <c r="AB10" s="125"/>
      <c r="AC10" s="125"/>
      <c r="AD10" s="119" t="n">
        <v>1200</v>
      </c>
      <c r="AE10" s="120" t="n">
        <f aca="false">Tabela54[[#This Row],[Kolumna23]]*Tabela54[[#This Row],[Kolumna63]]</f>
        <v>900</v>
      </c>
      <c r="AF10" s="120"/>
      <c r="AG10" s="122"/>
      <c r="AH10" s="122"/>
      <c r="AI10" s="119" t="n">
        <f aca="false">Tabela54[[#This Row],[Kolumna223]]*Tabela54[[#This Row],[Kolumna63]]</f>
        <v>0</v>
      </c>
      <c r="AJ10" s="119"/>
      <c r="AK10" s="119"/>
      <c r="AL10" s="119"/>
      <c r="AM10" s="119" t="n">
        <f aca="false">Tabela54[[#This Row],[Kolumna322]]*Tabela54[[#This Row],[Kolumna63]]</f>
        <v>0</v>
      </c>
      <c r="AN10" s="122"/>
      <c r="AO10" s="122" t="n">
        <f aca="false">Tabela54[[#This Row],[Kolumna5]]*Tabela54[[#This Row],[Kolumna63]]</f>
        <v>0</v>
      </c>
      <c r="AP10" s="53" t="n">
        <v>0.75</v>
      </c>
      <c r="AQ10" s="29" t="s">
        <v>243</v>
      </c>
      <c r="AR10" s="124" t="s">
        <v>243</v>
      </c>
      <c r="AS10" s="29" t="s">
        <v>243</v>
      </c>
      <c r="AT10" s="29"/>
    </row>
    <row r="11" customFormat="false" ht="44.25" hidden="false" customHeight="true" outlineLevel="0" collapsed="false">
      <c r="A11" s="25" t="n">
        <v>4</v>
      </c>
      <c r="B11" s="27" t="s">
        <v>241</v>
      </c>
      <c r="C11" s="24" t="s">
        <v>242</v>
      </c>
      <c r="D11" s="114"/>
      <c r="E11" s="115" t="n">
        <v>100</v>
      </c>
      <c r="F1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521.9791758</v>
      </c>
      <c r="G11" s="116"/>
      <c r="H11" s="115"/>
      <c r="I11" s="26" t="n">
        <f aca="false">Tabela43[[#This Row],[Kolumna5]]*20700*0.27778</f>
        <v>0</v>
      </c>
      <c r="J11" s="115"/>
      <c r="K11" s="115"/>
      <c r="L11" s="28" t="n">
        <f aca="false">Tabela43[[#This Row],[Kolumna8]]*0.000843882*40190*0.27778</f>
        <v>0</v>
      </c>
      <c r="M11" s="115"/>
      <c r="N11" s="115" t="n">
        <v>150</v>
      </c>
      <c r="O11" s="28" t="n">
        <f aca="false">Tabela43[[#This Row],[Kolumna82]]*35.94*0.27778</f>
        <v>1497.51198</v>
      </c>
      <c r="P11" s="115"/>
      <c r="Q11" s="115"/>
      <c r="R11" s="115" t="n">
        <v>18</v>
      </c>
      <c r="S11" s="116" t="n">
        <f aca="false">Tabela43[[#This Row],[Kolumna92]]*0.65</f>
        <v>11.7</v>
      </c>
      <c r="T11" s="28" t="n">
        <f aca="false">Tabela43[[#This Row],[Kolumna10]]*15600*0.27778</f>
        <v>50700.4056</v>
      </c>
      <c r="U11" s="115"/>
      <c r="V11" s="115"/>
      <c r="W11" s="115"/>
      <c r="X11" s="115"/>
      <c r="Y11" s="115"/>
      <c r="Z11" s="28" t="n">
        <v>1800</v>
      </c>
      <c r="AA11" s="118" t="n">
        <v>0</v>
      </c>
      <c r="AB11" s="118"/>
      <c r="AC11" s="118"/>
      <c r="AD11" s="119"/>
      <c r="AE11" s="120" t="n">
        <f aca="false">Tabela54[[#This Row],[Kolumna23]]*Tabela54[[#This Row],[Kolumna63]]</f>
        <v>0</v>
      </c>
      <c r="AF11" s="120"/>
      <c r="AG11" s="119"/>
      <c r="AH11" s="119"/>
      <c r="AI11" s="119" t="n">
        <f aca="false">Tabela54[[#This Row],[Kolumna223]]*Tabela54[[#This Row],[Kolumna63]]</f>
        <v>0</v>
      </c>
      <c r="AJ11" s="119"/>
      <c r="AK11" s="119"/>
      <c r="AL11" s="119"/>
      <c r="AM11" s="119" t="n">
        <f aca="false">Tabela54[[#This Row],[Kolumna322]]*Tabela54[[#This Row],[Kolumna63]]</f>
        <v>0</v>
      </c>
      <c r="AN11" s="119"/>
      <c r="AO11" s="119" t="n">
        <f aca="false">Tabela54[[#This Row],[Kolumna5]]*Tabela54[[#This Row],[Kolumna63]]</f>
        <v>0</v>
      </c>
      <c r="AP11" s="53"/>
      <c r="AQ11" s="29" t="s">
        <v>243</v>
      </c>
      <c r="AR11" s="124" t="s">
        <v>243</v>
      </c>
      <c r="AS11" s="29" t="s">
        <v>243</v>
      </c>
      <c r="AT11" s="29"/>
    </row>
    <row r="12" customFormat="false" ht="27" hidden="false" customHeight="true" outlineLevel="0" collapsed="false">
      <c r="A12" s="40" t="n">
        <v>5</v>
      </c>
      <c r="B12" s="27" t="s">
        <v>241</v>
      </c>
      <c r="C12" s="27" t="s">
        <v>242</v>
      </c>
      <c r="D12" s="114"/>
      <c r="E12" s="115" t="n">
        <v>110</v>
      </c>
      <c r="F1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256.062654545455</v>
      </c>
      <c r="G12" s="116"/>
      <c r="H12" s="115"/>
      <c r="I12" s="26" t="n">
        <f aca="false">Tabela43[[#This Row],[Kolumna5]]*20700*0.27778</f>
        <v>0</v>
      </c>
      <c r="J12" s="115"/>
      <c r="K12" s="115"/>
      <c r="L12" s="28" t="n">
        <f aca="false">Tabela43[[#This Row],[Kolumna8]]*0.000843882*40190*0.27778</f>
        <v>0</v>
      </c>
      <c r="M12" s="115"/>
      <c r="N12" s="115"/>
      <c r="O12" s="28" t="n">
        <f aca="false">Tabela43[[#This Row],[Kolumna82]]*35.94*0.27778</f>
        <v>0</v>
      </c>
      <c r="P12" s="115"/>
      <c r="Q12" s="115"/>
      <c r="R12" s="115" t="n">
        <v>10</v>
      </c>
      <c r="S12" s="116" t="n">
        <f aca="false">Tabela43[[#This Row],[Kolumna92]]*0.65</f>
        <v>6.5</v>
      </c>
      <c r="T12" s="28" t="n">
        <f aca="false">Tabela43[[#This Row],[Kolumna10]]*15600*0.27778</f>
        <v>28166.892</v>
      </c>
      <c r="U12" s="115"/>
      <c r="V12" s="115"/>
      <c r="W12" s="115"/>
      <c r="X12" s="115"/>
      <c r="Y12" s="115"/>
      <c r="Z12" s="28" t="n">
        <v>800</v>
      </c>
      <c r="AA12" s="118" t="n">
        <v>1</v>
      </c>
      <c r="AB12" s="118"/>
      <c r="AC12" s="118"/>
      <c r="AD12" s="119" t="n">
        <v>300</v>
      </c>
      <c r="AE12" s="120" t="n">
        <f aca="false">Tabela54[[#This Row],[Kolumna23]]*Tabela54[[#This Row],[Kolumna63]]</f>
        <v>240</v>
      </c>
      <c r="AF12" s="120"/>
      <c r="AG12" s="119"/>
      <c r="AH12" s="119"/>
      <c r="AI12" s="119" t="n">
        <f aca="false">Tabela54[[#This Row],[Kolumna223]]*Tabela54[[#This Row],[Kolumna63]]</f>
        <v>0</v>
      </c>
      <c r="AJ12" s="119"/>
      <c r="AK12" s="119"/>
      <c r="AL12" s="119"/>
      <c r="AM12" s="119" t="n">
        <f aca="false">Tabela54[[#This Row],[Kolumna322]]*Tabela54[[#This Row],[Kolumna63]]</f>
        <v>0</v>
      </c>
      <c r="AN12" s="119"/>
      <c r="AO12" s="119" t="n">
        <f aca="false">Tabela54[[#This Row],[Kolumna5]]*Tabela54[[#This Row],[Kolumna63]]</f>
        <v>0</v>
      </c>
      <c r="AP12" s="53" t="n">
        <v>0.8</v>
      </c>
      <c r="AQ12" s="29" t="s">
        <v>243</v>
      </c>
      <c r="AR12" s="124" t="s">
        <v>243</v>
      </c>
      <c r="AS12" s="29" t="s">
        <v>243</v>
      </c>
      <c r="AT12" s="29"/>
    </row>
    <row r="13" customFormat="false" ht="29.25" hidden="false" customHeight="true" outlineLevel="0" collapsed="false">
      <c r="A13" s="25" t="n">
        <v>6</v>
      </c>
      <c r="B13" s="27" t="s">
        <v>241</v>
      </c>
      <c r="C13" s="24" t="s">
        <v>242</v>
      </c>
      <c r="D13" s="114"/>
      <c r="E13" s="115" t="n">
        <v>90</v>
      </c>
      <c r="F1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1278.48430186667</v>
      </c>
      <c r="G13" s="116"/>
      <c r="H13" s="115"/>
      <c r="I13" s="26" t="n">
        <f aca="false">Tabela43[[#This Row],[Kolumna5]]*20700*0.27778</f>
        <v>0</v>
      </c>
      <c r="J13" s="115"/>
      <c r="K13" s="115"/>
      <c r="L13" s="28" t="n">
        <f aca="false">Tabela43[[#This Row],[Kolumna8]]*0.000843882*40190*0.27778</f>
        <v>0</v>
      </c>
      <c r="M13" s="115"/>
      <c r="N13" s="115" t="n">
        <v>240</v>
      </c>
      <c r="O13" s="28" t="n">
        <f aca="false">Tabela43[[#This Row],[Kolumna82]]*35.94*0.27778</f>
        <v>2396.019168</v>
      </c>
      <c r="P13" s="115"/>
      <c r="Q13" s="115"/>
      <c r="R13" s="115" t="n">
        <v>40</v>
      </c>
      <c r="S13" s="116" t="n">
        <f aca="false">Tabela43[[#This Row],[Kolumna92]]*0.65</f>
        <v>26</v>
      </c>
      <c r="T13" s="28" t="n">
        <f aca="false">Tabela43[[#This Row],[Kolumna10]]*15600*0.27778</f>
        <v>112667.568</v>
      </c>
      <c r="U13" s="115"/>
      <c r="V13" s="115"/>
      <c r="W13" s="115"/>
      <c r="X13" s="115"/>
      <c r="Y13" s="115"/>
      <c r="Z13" s="28" t="n">
        <v>4000</v>
      </c>
      <c r="AA13" s="125" t="n">
        <v>2</v>
      </c>
      <c r="AB13" s="125"/>
      <c r="AC13" s="125"/>
      <c r="AD13" s="122"/>
      <c r="AE13" s="120" t="n">
        <f aca="false">Tabela54[[#This Row],[Kolumna23]]*Tabela54[[#This Row],[Kolumna63]]</f>
        <v>0</v>
      </c>
      <c r="AF13" s="120"/>
      <c r="AG13" s="122"/>
      <c r="AH13" s="122"/>
      <c r="AI13" s="119" t="n">
        <f aca="false">Tabela54[[#This Row],[Kolumna223]]*Tabela54[[#This Row],[Kolumna63]]</f>
        <v>0</v>
      </c>
      <c r="AJ13" s="119"/>
      <c r="AK13" s="122"/>
      <c r="AL13" s="122" t="n">
        <v>1000</v>
      </c>
      <c r="AM13" s="119" t="n">
        <f aca="false">Tabela54[[#This Row],[Kolumna322]]*Tabela54[[#This Row],[Kolumna63]]</f>
        <v>1000</v>
      </c>
      <c r="AN13" s="122"/>
      <c r="AO13" s="122" t="n">
        <f aca="false">Tabela54[[#This Row],[Kolumna5]]*Tabela54[[#This Row],[Kolumna63]]</f>
        <v>0</v>
      </c>
      <c r="AP13" s="53" t="n">
        <v>1</v>
      </c>
      <c r="AQ13" s="29" t="s">
        <v>243</v>
      </c>
      <c r="AR13" s="124" t="s">
        <v>243</v>
      </c>
      <c r="AS13" s="29" t="s">
        <v>243</v>
      </c>
      <c r="AT13" s="29"/>
    </row>
    <row r="14" customFormat="false" ht="32.25" hidden="false" customHeight="true" outlineLevel="0" collapsed="false">
      <c r="A14" s="25" t="n">
        <v>7</v>
      </c>
      <c r="B14" s="27" t="s">
        <v>241</v>
      </c>
      <c r="C14" s="24" t="s">
        <v>242</v>
      </c>
      <c r="D14" s="114"/>
      <c r="E14" s="115" t="n">
        <v>180</v>
      </c>
      <c r="F1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312.965466666667</v>
      </c>
      <c r="G14" s="116"/>
      <c r="H14" s="115"/>
      <c r="I14" s="26" t="n">
        <f aca="false">Tabela43[[#This Row],[Kolumna5]]*20700*0.27778</f>
        <v>0</v>
      </c>
      <c r="J14" s="115"/>
      <c r="K14" s="115"/>
      <c r="L14" s="28" t="n">
        <f aca="false">Tabela43[[#This Row],[Kolumna8]]*0.000843882*40190*0.27778</f>
        <v>0</v>
      </c>
      <c r="M14" s="115"/>
      <c r="N14" s="115"/>
      <c r="O14" s="28" t="n">
        <f aca="false">Tabela43[[#This Row],[Kolumna82]]*35.94*0.27778</f>
        <v>0</v>
      </c>
      <c r="P14" s="115"/>
      <c r="Q14" s="115"/>
      <c r="R14" s="115" t="n">
        <v>20</v>
      </c>
      <c r="S14" s="116" t="n">
        <f aca="false">Tabela43[[#This Row],[Kolumna92]]*0.65</f>
        <v>13</v>
      </c>
      <c r="T14" s="28" t="n">
        <f aca="false">Tabela43[[#This Row],[Kolumna10]]*15600*0.27778</f>
        <v>56333.784</v>
      </c>
      <c r="U14" s="115"/>
      <c r="V14" s="115"/>
      <c r="W14" s="115"/>
      <c r="X14" s="115"/>
      <c r="Y14" s="115"/>
      <c r="Z14" s="28" t="n">
        <v>12000</v>
      </c>
      <c r="AA14" s="118" t="n">
        <v>2</v>
      </c>
      <c r="AB14" s="118"/>
      <c r="AC14" s="118"/>
      <c r="AD14" s="119" t="n">
        <v>100</v>
      </c>
      <c r="AE14" s="120" t="n">
        <f aca="false">Tabela54[[#This Row],[Kolumna23]]*Tabela54[[#This Row],[Kolumna63]]</f>
        <v>30</v>
      </c>
      <c r="AF14" s="120"/>
      <c r="AG14" s="119"/>
      <c r="AH14" s="119"/>
      <c r="AI14" s="119" t="n">
        <f aca="false">Tabela54[[#This Row],[Kolumna223]]*Tabela54[[#This Row],[Kolumna63]]</f>
        <v>0</v>
      </c>
      <c r="AJ14" s="119"/>
      <c r="AK14" s="119"/>
      <c r="AL14" s="119" t="n">
        <v>100</v>
      </c>
      <c r="AM14" s="119" t="n">
        <f aca="false">Tabela54[[#This Row],[Kolumna322]]*Tabela54[[#This Row],[Kolumna63]]</f>
        <v>30</v>
      </c>
      <c r="AN14" s="119"/>
      <c r="AO14" s="119" t="n">
        <f aca="false">Tabela54[[#This Row],[Kolumna5]]*Tabela54[[#This Row],[Kolumna63]]</f>
        <v>0</v>
      </c>
      <c r="AP14" s="53" t="n">
        <v>0.3</v>
      </c>
      <c r="AQ14" s="29" t="s">
        <v>244</v>
      </c>
      <c r="AR14" s="124" t="s">
        <v>243</v>
      </c>
      <c r="AS14" s="29" t="s">
        <v>243</v>
      </c>
      <c r="AT14" s="29"/>
    </row>
    <row r="15" customFormat="false" ht="30" hidden="false" customHeight="true" outlineLevel="0" collapsed="false">
      <c r="A15" s="40" t="n">
        <v>8</v>
      </c>
      <c r="B15" s="24" t="s">
        <v>241</v>
      </c>
      <c r="C15" s="27" t="s">
        <v>242</v>
      </c>
      <c r="D15" s="114"/>
      <c r="E15" s="115" t="n">
        <v>140</v>
      </c>
      <c r="F1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201.192085714286</v>
      </c>
      <c r="G15" s="116"/>
      <c r="H15" s="115"/>
      <c r="I15" s="26" t="n">
        <f aca="false">Tabela43[[#This Row],[Kolumna5]]*20700*0.27778</f>
        <v>0</v>
      </c>
      <c r="J15" s="115"/>
      <c r="K15" s="115"/>
      <c r="L15" s="28" t="n">
        <f aca="false">Tabela43[[#This Row],[Kolumna8]]*0.000843882*40190*0.27778</f>
        <v>0</v>
      </c>
      <c r="M15" s="115"/>
      <c r="N15" s="115"/>
      <c r="O15" s="28" t="n">
        <f aca="false">Tabela43[[#This Row],[Kolumna82]]*35.94*0.27778</f>
        <v>0</v>
      </c>
      <c r="P15" s="115"/>
      <c r="Q15" s="115"/>
      <c r="R15" s="115" t="n">
        <v>10</v>
      </c>
      <c r="S15" s="116" t="n">
        <f aca="false">Tabela43[[#This Row],[Kolumna92]]*0.65</f>
        <v>6.5</v>
      </c>
      <c r="T15" s="28" t="n">
        <f aca="false">Tabela43[[#This Row],[Kolumna10]]*15600*0.27778</f>
        <v>28166.892</v>
      </c>
      <c r="U15" s="115"/>
      <c r="V15" s="115"/>
      <c r="W15" s="115"/>
      <c r="X15" s="115"/>
      <c r="Y15" s="115"/>
      <c r="Z15" s="28"/>
      <c r="AA15" s="125" t="n">
        <v>2</v>
      </c>
      <c r="AB15" s="125"/>
      <c r="AC15" s="125"/>
      <c r="AD15" s="122"/>
      <c r="AE15" s="120" t="n">
        <f aca="false">Tabela54[[#This Row],[Kolumna23]]*Tabela54[[#This Row],[Kolumna63]]</f>
        <v>0</v>
      </c>
      <c r="AF15" s="120"/>
      <c r="AG15" s="122"/>
      <c r="AH15" s="122"/>
      <c r="AI15" s="119" t="n">
        <f aca="false">Tabela54[[#This Row],[Kolumna223]]*Tabela54[[#This Row],[Kolumna63]]</f>
        <v>0</v>
      </c>
      <c r="AJ15" s="119"/>
      <c r="AK15" s="122"/>
      <c r="AL15" s="122" t="n">
        <v>300</v>
      </c>
      <c r="AM15" s="119" t="n">
        <f aca="false">Tabela54[[#This Row],[Kolumna322]]*Tabela54[[#This Row],[Kolumna63]]</f>
        <v>285</v>
      </c>
      <c r="AN15" s="122"/>
      <c r="AO15" s="122" t="n">
        <f aca="false">Tabela54[[#This Row],[Kolumna5]]*Tabela54[[#This Row],[Kolumna63]]</f>
        <v>0</v>
      </c>
      <c r="AP15" s="53" t="n">
        <v>0.95</v>
      </c>
      <c r="AQ15" s="29" t="s">
        <v>243</v>
      </c>
      <c r="AR15" s="124" t="s">
        <v>243</v>
      </c>
      <c r="AS15" s="24" t="s">
        <v>243</v>
      </c>
      <c r="AT15" s="29"/>
    </row>
    <row r="16" customFormat="false" ht="31.5" hidden="false" customHeight="true" outlineLevel="0" collapsed="false">
      <c r="A16" s="25" t="n">
        <v>9</v>
      </c>
      <c r="B16" s="27" t="s">
        <v>241</v>
      </c>
      <c r="C16" s="24" t="s">
        <v>242</v>
      </c>
      <c r="D16" s="114"/>
      <c r="E16" s="115" t="n">
        <v>120</v>
      </c>
      <c r="F1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165.765215</v>
      </c>
      <c r="G16" s="116"/>
      <c r="H16" s="115" t="n">
        <v>1.5</v>
      </c>
      <c r="I16" s="26" t="n">
        <f aca="false">Tabela43[[#This Row],[Kolumna5]]*20700*0.27778</f>
        <v>8625.069</v>
      </c>
      <c r="J16" s="115"/>
      <c r="K16" s="115"/>
      <c r="L16" s="28" t="n">
        <f aca="false">Tabela43[[#This Row],[Kolumna8]]*0.000843882*40190*0.27778</f>
        <v>0</v>
      </c>
      <c r="M16" s="115"/>
      <c r="N16" s="115"/>
      <c r="O16" s="28" t="n">
        <f aca="false">Tabela43[[#This Row],[Kolumna82]]*35.94*0.27778</f>
        <v>0</v>
      </c>
      <c r="P16" s="115" t="n">
        <v>12</v>
      </c>
      <c r="Q16" s="115"/>
      <c r="R16" s="115" t="n">
        <v>4</v>
      </c>
      <c r="S16" s="116" t="n">
        <f aca="false">Tabela43[[#This Row],[Kolumna92]]*0.65</f>
        <v>2.6</v>
      </c>
      <c r="T16" s="28" t="n">
        <f aca="false">Tabela43[[#This Row],[Kolumna10]]*15600*0.27778</f>
        <v>11266.7568</v>
      </c>
      <c r="U16" s="115"/>
      <c r="V16" s="115"/>
      <c r="W16" s="115"/>
      <c r="X16" s="115"/>
      <c r="Y16" s="115"/>
      <c r="Z16" s="28" t="n">
        <v>4000</v>
      </c>
      <c r="AA16" s="125" t="n">
        <v>1</v>
      </c>
      <c r="AB16" s="125"/>
      <c r="AC16" s="125"/>
      <c r="AD16" s="122"/>
      <c r="AE16" s="120" t="n">
        <f aca="false">Tabela54[[#This Row],[Kolumna23]]*Tabela54[[#This Row],[Kolumna63]]</f>
        <v>0</v>
      </c>
      <c r="AF16" s="120"/>
      <c r="AG16" s="122"/>
      <c r="AH16" s="122" t="n">
        <v>1000</v>
      </c>
      <c r="AI16" s="119" t="n">
        <f aca="false">Tabela54[[#This Row],[Kolumna223]]*Tabela54[[#This Row],[Kolumna63]]</f>
        <v>500</v>
      </c>
      <c r="AJ16" s="119"/>
      <c r="AK16" s="119"/>
      <c r="AL16" s="119"/>
      <c r="AM16" s="119" t="n">
        <f aca="false">Tabela54[[#This Row],[Kolumna322]]*Tabela54[[#This Row],[Kolumna63]]</f>
        <v>0</v>
      </c>
      <c r="AN16" s="122"/>
      <c r="AO16" s="122" t="n">
        <f aca="false">Tabela54[[#This Row],[Kolumna5]]*Tabela54[[#This Row],[Kolumna63]]</f>
        <v>0</v>
      </c>
      <c r="AP16" s="53" t="n">
        <v>0.5</v>
      </c>
      <c r="AQ16" s="29" t="s">
        <v>243</v>
      </c>
      <c r="AR16" s="124" t="s">
        <v>243</v>
      </c>
      <c r="AS16" s="24" t="s">
        <v>244</v>
      </c>
      <c r="AT16" s="29" t="s">
        <v>245</v>
      </c>
    </row>
    <row r="17" customFormat="false" ht="28.5" hidden="false" customHeight="true" outlineLevel="0" collapsed="false">
      <c r="A17" s="25" t="n">
        <v>10</v>
      </c>
      <c r="B17" s="126" t="s">
        <v>241</v>
      </c>
      <c r="C17" s="127" t="s">
        <v>242</v>
      </c>
      <c r="D17" s="114"/>
      <c r="E17" s="115" t="n">
        <v>88</v>
      </c>
      <c r="F1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196.024295454546</v>
      </c>
      <c r="G17" s="116"/>
      <c r="H17" s="128" t="n">
        <v>3</v>
      </c>
      <c r="I17" s="26" t="n">
        <f aca="false">Tabela43[[#This Row],[Kolumna5]]*20700*0.27778</f>
        <v>17250.138</v>
      </c>
      <c r="J17" s="128"/>
      <c r="K17" s="128"/>
      <c r="L17" s="28" t="n">
        <f aca="false">Tabela43[[#This Row],[Kolumna8]]*0.000843882*40190*0.27778</f>
        <v>0</v>
      </c>
      <c r="M17" s="128"/>
      <c r="N17" s="128"/>
      <c r="O17" s="28" t="n">
        <f aca="false">Tabela43[[#This Row],[Kolumna82]]*35.94*0.27778</f>
        <v>0</v>
      </c>
      <c r="P17" s="128"/>
      <c r="Q17" s="128"/>
      <c r="R17" s="128"/>
      <c r="S17" s="116" t="n">
        <f aca="false">Tabela43[[#This Row],[Kolumna92]]*0.65</f>
        <v>0</v>
      </c>
      <c r="T17" s="28" t="n">
        <f aca="false">Tabela43[[#This Row],[Kolumna10]]*15600*0.27778</f>
        <v>0</v>
      </c>
      <c r="U17" s="128"/>
      <c r="V17" s="128"/>
      <c r="W17" s="128"/>
      <c r="X17" s="128"/>
      <c r="Y17" s="128"/>
      <c r="Z17" s="28" t="n">
        <v>2000</v>
      </c>
      <c r="AA17" s="125" t="n">
        <v>1</v>
      </c>
      <c r="AB17" s="125"/>
      <c r="AC17" s="125"/>
      <c r="AD17" s="122" t="n">
        <v>800</v>
      </c>
      <c r="AE17" s="120" t="n">
        <f aca="false">Tabela54[[#This Row],[Kolumna23]]*Tabela54[[#This Row],[Kolumna63]]</f>
        <v>560</v>
      </c>
      <c r="AF17" s="120"/>
      <c r="AG17" s="122"/>
      <c r="AH17" s="122"/>
      <c r="AI17" s="119" t="n">
        <f aca="false">Tabela54[[#This Row],[Kolumna223]]*Tabela54[[#This Row],[Kolumna63]]</f>
        <v>0</v>
      </c>
      <c r="AJ17" s="119"/>
      <c r="AK17" s="122"/>
      <c r="AL17" s="122"/>
      <c r="AM17" s="119" t="n">
        <f aca="false">Tabela54[[#This Row],[Kolumna322]]*Tabela54[[#This Row],[Kolumna63]]</f>
        <v>0</v>
      </c>
      <c r="AN17" s="122"/>
      <c r="AO17" s="122" t="n">
        <f aca="false">Tabela54[[#This Row],[Kolumna5]]*Tabela54[[#This Row],[Kolumna63]]</f>
        <v>0</v>
      </c>
      <c r="AP17" s="53" t="n">
        <v>0.7</v>
      </c>
      <c r="AQ17" s="29" t="s">
        <v>243</v>
      </c>
      <c r="AR17" s="124" t="s">
        <v>243</v>
      </c>
      <c r="AS17" s="29" t="s">
        <v>243</v>
      </c>
      <c r="AT17" s="29"/>
    </row>
    <row r="18" customFormat="false" ht="29.25" hidden="false" customHeight="true" outlineLevel="0" collapsed="false">
      <c r="A18" s="40" t="n">
        <v>11</v>
      </c>
      <c r="B18" s="44" t="s">
        <v>241</v>
      </c>
      <c r="C18" s="29" t="s">
        <v>242</v>
      </c>
      <c r="D18" s="114"/>
      <c r="E18" s="115" t="n">
        <v>108</v>
      </c>
      <c r="F1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292.344314044444</v>
      </c>
      <c r="G18" s="116"/>
      <c r="H18" s="128" t="n">
        <v>3</v>
      </c>
      <c r="I18" s="26" t="n">
        <f aca="false">Tabela43[[#This Row],[Kolumna5]]*20700*0.27778</f>
        <v>17250.138</v>
      </c>
      <c r="J18" s="128"/>
      <c r="K18" s="115"/>
      <c r="L18" s="28" t="n">
        <f aca="false">Tabela43[[#This Row],[Kolumna8]]*0.000843882*40190*0.27778</f>
        <v>0</v>
      </c>
      <c r="M18" s="128"/>
      <c r="N18" s="115" t="n">
        <v>24</v>
      </c>
      <c r="O18" s="28" t="n">
        <f aca="false">Tabela43[[#This Row],[Kolumna82]]*35.94*0.27778</f>
        <v>239.6019168</v>
      </c>
      <c r="P18" s="115"/>
      <c r="Q18" s="128"/>
      <c r="R18" s="128" t="n">
        <v>5</v>
      </c>
      <c r="S18" s="116" t="n">
        <f aca="false">Tabela43[[#This Row],[Kolumna92]]*0.65</f>
        <v>3.25</v>
      </c>
      <c r="T18" s="28" t="n">
        <f aca="false">Tabela43[[#This Row],[Kolumna10]]*15600*0.27778</f>
        <v>14083.446</v>
      </c>
      <c r="U18" s="128"/>
      <c r="V18" s="128"/>
      <c r="W18" s="128"/>
      <c r="X18" s="128"/>
      <c r="Y18" s="128"/>
      <c r="Z18" s="28" t="n">
        <v>675</v>
      </c>
      <c r="AA18" s="125" t="n">
        <v>1</v>
      </c>
      <c r="AB18" s="125"/>
      <c r="AC18" s="125"/>
      <c r="AD18" s="122" t="n">
        <v>650</v>
      </c>
      <c r="AE18" s="120" t="n">
        <f aca="false">Tabela54[[#This Row],[Kolumna23]]*Tabela54[[#This Row],[Kolumna63]]</f>
        <v>162.5</v>
      </c>
      <c r="AF18" s="120"/>
      <c r="AG18" s="122"/>
      <c r="AH18" s="122"/>
      <c r="AI18" s="119" t="n">
        <f aca="false">Tabela54[[#This Row],[Kolumna223]]*Tabela54[[#This Row],[Kolumna63]]</f>
        <v>0</v>
      </c>
      <c r="AJ18" s="119"/>
      <c r="AK18" s="122"/>
      <c r="AL18" s="122"/>
      <c r="AM18" s="119" t="n">
        <f aca="false">Tabela54[[#This Row],[Kolumna322]]*Tabela54[[#This Row],[Kolumna63]]</f>
        <v>0</v>
      </c>
      <c r="AN18" s="122"/>
      <c r="AO18" s="122" t="n">
        <f aca="false">Tabela54[[#This Row],[Kolumna5]]*Tabela54[[#This Row],[Kolumna63]]</f>
        <v>0</v>
      </c>
      <c r="AP18" s="53" t="n">
        <v>0.25</v>
      </c>
      <c r="AQ18" s="29" t="s">
        <v>243</v>
      </c>
      <c r="AR18" s="29" t="s">
        <v>243</v>
      </c>
      <c r="AS18" s="29" t="s">
        <v>243</v>
      </c>
      <c r="AT18" s="29"/>
    </row>
    <row r="19" customFormat="false" ht="27" hidden="false" customHeight="true" outlineLevel="0" collapsed="false">
      <c r="A19" s="25" t="n">
        <v>12</v>
      </c>
      <c r="B19" s="126" t="s">
        <v>241</v>
      </c>
      <c r="C19" s="27" t="s">
        <v>242</v>
      </c>
      <c r="D19" s="114"/>
      <c r="E19" s="115" t="n">
        <v>90</v>
      </c>
      <c r="F1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93.88964</v>
      </c>
      <c r="G19" s="116"/>
      <c r="H19" s="128"/>
      <c r="I19" s="26" t="n">
        <f aca="false">Tabela43[[#This Row],[Kolumna5]]*20700*0.27778</f>
        <v>0</v>
      </c>
      <c r="J19" s="128"/>
      <c r="K19" s="128"/>
      <c r="L19" s="28" t="n">
        <f aca="false">Tabela43[[#This Row],[Kolumna8]]*0.000843882*40190*0.27778</f>
        <v>0</v>
      </c>
      <c r="M19" s="128"/>
      <c r="N19" s="128"/>
      <c r="O19" s="28" t="n">
        <f aca="false">Tabela43[[#This Row],[Kolumna82]]*35.94*0.27778</f>
        <v>0</v>
      </c>
      <c r="P19" s="128"/>
      <c r="Q19" s="128"/>
      <c r="R19" s="128" t="n">
        <v>3</v>
      </c>
      <c r="S19" s="116" t="n">
        <f aca="false">Tabela43[[#This Row],[Kolumna92]]*0.65</f>
        <v>1.95</v>
      </c>
      <c r="T19" s="28" t="n">
        <f aca="false">Tabela43[[#This Row],[Kolumna10]]*15600*0.27778</f>
        <v>8450.0676</v>
      </c>
      <c r="U19" s="128"/>
      <c r="V19" s="128"/>
      <c r="W19" s="128"/>
      <c r="X19" s="128"/>
      <c r="Y19" s="128"/>
      <c r="Z19" s="28" t="n">
        <v>2000</v>
      </c>
      <c r="AA19" s="118" t="n">
        <v>1</v>
      </c>
      <c r="AB19" s="118"/>
      <c r="AC19" s="118"/>
      <c r="AD19" s="119" t="n">
        <v>200</v>
      </c>
      <c r="AE19" s="120" t="n">
        <f aca="false">Tabela54[[#This Row],[Kolumna23]]*Tabela54[[#This Row],[Kolumna63]]</f>
        <v>140</v>
      </c>
      <c r="AF19" s="120"/>
      <c r="AG19" s="119"/>
      <c r="AH19" s="119" t="n">
        <v>3600</v>
      </c>
      <c r="AI19" s="119" t="n">
        <f aca="false">Tabela54[[#This Row],[Kolumna223]]*Tabela54[[#This Row],[Kolumna63]]</f>
        <v>2520</v>
      </c>
      <c r="AJ19" s="119"/>
      <c r="AK19" s="119"/>
      <c r="AL19" s="119"/>
      <c r="AM19" s="119" t="n">
        <f aca="false">Tabela54[[#This Row],[Kolumna322]]*Tabela54[[#This Row],[Kolumna63]]</f>
        <v>0</v>
      </c>
      <c r="AN19" s="119"/>
      <c r="AO19" s="119" t="n">
        <f aca="false">Tabela54[[#This Row],[Kolumna5]]*Tabela54[[#This Row],[Kolumna63]]</f>
        <v>0</v>
      </c>
      <c r="AP19" s="53" t="n">
        <v>0.7</v>
      </c>
      <c r="AQ19" s="29" t="s">
        <v>243</v>
      </c>
      <c r="AR19" s="29" t="s">
        <v>243</v>
      </c>
      <c r="AS19" s="29" t="s">
        <v>243</v>
      </c>
      <c r="AT19" s="29"/>
    </row>
    <row r="20" customFormat="false" ht="30.75" hidden="false" customHeight="true" outlineLevel="0" collapsed="false">
      <c r="A20" s="25" t="n">
        <v>13</v>
      </c>
      <c r="B20" s="27" t="s">
        <v>241</v>
      </c>
      <c r="C20" s="27" t="s">
        <v>242</v>
      </c>
      <c r="D20" s="114"/>
      <c r="E20" s="115"/>
      <c r="F20" s="26"/>
      <c r="G20" s="116"/>
      <c r="H20" s="128"/>
      <c r="I20" s="26" t="n">
        <f aca="false">Tabela43[[#This Row],[Kolumna5]]*20700*0.27778</f>
        <v>0</v>
      </c>
      <c r="J20" s="128"/>
      <c r="K20" s="128"/>
      <c r="L20" s="28" t="n">
        <f aca="false">Tabela43[[#This Row],[Kolumna8]]*0.000843882*40190*0.27778</f>
        <v>0</v>
      </c>
      <c r="M20" s="128"/>
      <c r="N20" s="128"/>
      <c r="O20" s="28" t="n">
        <f aca="false">Tabela43[[#This Row],[Kolumna82]]*35.94*0.27778</f>
        <v>0</v>
      </c>
      <c r="P20" s="128"/>
      <c r="Q20" s="128"/>
      <c r="R20" s="128" t="n">
        <v>4</v>
      </c>
      <c r="S20" s="116" t="n">
        <f aca="false">Tabela43[[#This Row],[Kolumna92]]*0.65</f>
        <v>2.6</v>
      </c>
      <c r="T20" s="28" t="n">
        <f aca="false">Tabela43[[#This Row],[Kolumna10]]*15600*0.27778</f>
        <v>11266.7568</v>
      </c>
      <c r="U20" s="128"/>
      <c r="V20" s="128"/>
      <c r="W20" s="128"/>
      <c r="X20" s="128"/>
      <c r="Y20" s="128"/>
      <c r="Z20" s="28"/>
      <c r="AA20" s="125" t="n">
        <v>1</v>
      </c>
      <c r="AB20" s="125"/>
      <c r="AC20" s="125"/>
      <c r="AD20" s="122"/>
      <c r="AE20" s="120" t="n">
        <f aca="false">Tabela54[[#This Row],[Kolumna23]]*Tabela54[[#This Row],[Kolumna63]]</f>
        <v>0</v>
      </c>
      <c r="AF20" s="120"/>
      <c r="AG20" s="122"/>
      <c r="AH20" s="122"/>
      <c r="AI20" s="119" t="n">
        <f aca="false">Tabela54[[#This Row],[Kolumna223]]*Tabela54[[#This Row],[Kolumna63]]</f>
        <v>0</v>
      </c>
      <c r="AJ20" s="119"/>
      <c r="AK20" s="122"/>
      <c r="AL20" s="122" t="n">
        <v>500</v>
      </c>
      <c r="AM20" s="119" t="n">
        <f aca="false">Tabela54[[#This Row],[Kolumna322]]*Tabela54[[#This Row],[Kolumna63]]</f>
        <v>350</v>
      </c>
      <c r="AN20" s="122"/>
      <c r="AO20" s="122" t="n">
        <f aca="false">Tabela54[[#This Row],[Kolumna5]]*Tabela54[[#This Row],[Kolumna63]]</f>
        <v>0</v>
      </c>
      <c r="AP20" s="53" t="n">
        <v>0.7</v>
      </c>
      <c r="AQ20" s="29" t="s">
        <v>243</v>
      </c>
      <c r="AR20" s="29" t="s">
        <v>243</v>
      </c>
      <c r="AS20" s="29" t="s">
        <v>243</v>
      </c>
      <c r="AT20" s="29"/>
    </row>
    <row r="21" customFormat="false" ht="28.5" hidden="false" customHeight="true" outlineLevel="0" collapsed="false">
      <c r="A21" s="40" t="n">
        <v>14</v>
      </c>
      <c r="B21" s="27" t="s">
        <v>241</v>
      </c>
      <c r="C21" s="129" t="s">
        <v>242</v>
      </c>
      <c r="D21" s="114"/>
      <c r="E21" s="115" t="n">
        <v>140</v>
      </c>
      <c r="F2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464.015616857143</v>
      </c>
      <c r="G21" s="116"/>
      <c r="H21" s="130"/>
      <c r="I21" s="26" t="n">
        <f aca="false">Tabela43[[#This Row],[Kolumna5]]*20700*0.27778</f>
        <v>0</v>
      </c>
      <c r="J21" s="130"/>
      <c r="K21" s="130"/>
      <c r="L21" s="28" t="n">
        <f aca="false">Tabela43[[#This Row],[Kolumna8]]*0.000843882*40190*0.27778</f>
        <v>0</v>
      </c>
      <c r="M21" s="128"/>
      <c r="N21" s="130" t="n">
        <v>300</v>
      </c>
      <c r="O21" s="28" t="n">
        <f aca="false">Tabela43[[#This Row],[Kolumna82]]*35.94*0.27778</f>
        <v>2995.02396</v>
      </c>
      <c r="P21" s="130"/>
      <c r="Q21" s="130"/>
      <c r="R21" s="130" t="n">
        <v>22</v>
      </c>
      <c r="S21" s="116" t="n">
        <f aca="false">Tabela43[[#This Row],[Kolumna92]]*0.65</f>
        <v>14.3</v>
      </c>
      <c r="T21" s="28" t="n">
        <f aca="false">Tabela43[[#This Row],[Kolumna10]]*15600*0.27778</f>
        <v>61967.1624</v>
      </c>
      <c r="U21" s="130"/>
      <c r="V21" s="130"/>
      <c r="W21" s="130"/>
      <c r="X21" s="130"/>
      <c r="Y21" s="130"/>
      <c r="Z21" s="28" t="n">
        <v>4800</v>
      </c>
      <c r="AA21" s="125" t="n">
        <v>2</v>
      </c>
      <c r="AB21" s="125"/>
      <c r="AC21" s="125"/>
      <c r="AD21" s="122" t="n">
        <v>480</v>
      </c>
      <c r="AE21" s="120" t="n">
        <f aca="false">Tabela54[[#This Row],[Kolumna23]]*Tabela54[[#This Row],[Kolumna63]]</f>
        <v>240</v>
      </c>
      <c r="AF21" s="120"/>
      <c r="AG21" s="122"/>
      <c r="AH21" s="122"/>
      <c r="AI21" s="119" t="n">
        <f aca="false">Tabela54[[#This Row],[Kolumna223]]*Tabela54[[#This Row],[Kolumna63]]</f>
        <v>0</v>
      </c>
      <c r="AJ21" s="119"/>
      <c r="AK21" s="122"/>
      <c r="AL21" s="122" t="n">
        <v>250</v>
      </c>
      <c r="AM21" s="119" t="n">
        <f aca="false">Tabela54[[#This Row],[Kolumna322]]*Tabela54[[#This Row],[Kolumna63]]</f>
        <v>125</v>
      </c>
      <c r="AN21" s="119"/>
      <c r="AO21" s="119" t="n">
        <f aca="false">Tabela54[[#This Row],[Kolumna5]]*Tabela54[[#This Row],[Kolumna63]]</f>
        <v>0</v>
      </c>
      <c r="AP21" s="53" t="n">
        <v>0.5</v>
      </c>
      <c r="AQ21" s="29" t="s">
        <v>243</v>
      </c>
      <c r="AR21" s="29" t="s">
        <v>243</v>
      </c>
      <c r="AS21" s="29" t="s">
        <v>243</v>
      </c>
      <c r="AT21" s="29"/>
    </row>
    <row r="22" customFormat="false" ht="28.5" hidden="false" customHeight="true" outlineLevel="0" collapsed="false">
      <c r="A22" s="25" t="n">
        <v>15</v>
      </c>
      <c r="B22" s="24" t="s">
        <v>241</v>
      </c>
      <c r="C22" s="129" t="s">
        <v>242</v>
      </c>
      <c r="D22" s="114"/>
      <c r="E22" s="115" t="n">
        <v>120</v>
      </c>
      <c r="F2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282.4258705</v>
      </c>
      <c r="G22" s="116"/>
      <c r="H22" s="130" t="n">
        <v>2</v>
      </c>
      <c r="I22" s="26" t="n">
        <f aca="false">Tabela43[[#This Row],[Kolumna5]]*20700*0.27778</f>
        <v>11500.092</v>
      </c>
      <c r="J22" s="131"/>
      <c r="K22" s="130"/>
      <c r="L22" s="28" t="n">
        <f aca="false">Tabela43[[#This Row],[Kolumna8]]*0.000843882*40190*0.27778</f>
        <v>0</v>
      </c>
      <c r="M22" s="128"/>
      <c r="N22" s="130" t="n">
        <v>550</v>
      </c>
      <c r="O22" s="28" t="n">
        <f aca="false">Tabela43[[#This Row],[Kolumna82]]*35.94*0.27778</f>
        <v>5490.87726</v>
      </c>
      <c r="P22" s="130"/>
      <c r="Q22" s="130"/>
      <c r="R22" s="130" t="n">
        <v>6</v>
      </c>
      <c r="S22" s="116" t="n">
        <f aca="false">Tabela43[[#This Row],[Kolumna92]]*0.65</f>
        <v>3.9</v>
      </c>
      <c r="T22" s="28" t="n">
        <f aca="false">Tabela43[[#This Row],[Kolumna10]]*15600*0.27778</f>
        <v>16900.1352</v>
      </c>
      <c r="U22" s="130"/>
      <c r="V22" s="130"/>
      <c r="W22" s="130"/>
      <c r="X22" s="130"/>
      <c r="Y22" s="130"/>
      <c r="Z22" s="28" t="n">
        <v>2500</v>
      </c>
      <c r="AA22" s="132" t="n">
        <v>2</v>
      </c>
      <c r="AB22" s="132"/>
      <c r="AC22" s="132"/>
      <c r="AD22" s="133" t="n">
        <v>200</v>
      </c>
      <c r="AE22" s="120" t="n">
        <f aca="false">Tabela54[[#This Row],[Kolumna23]]*Tabela54[[#This Row],[Kolumna63]]</f>
        <v>100</v>
      </c>
      <c r="AF22" s="120"/>
      <c r="AG22" s="122"/>
      <c r="AH22" s="122" t="n">
        <v>1200</v>
      </c>
      <c r="AI22" s="119" t="n">
        <f aca="false">Tabela54[[#This Row],[Kolumna223]]*Tabela54[[#This Row],[Kolumna63]]</f>
        <v>600</v>
      </c>
      <c r="AJ22" s="119"/>
      <c r="AK22" s="122"/>
      <c r="AL22" s="122"/>
      <c r="AM22" s="119" t="n">
        <f aca="false">Tabela54[[#This Row],[Kolumna322]]*Tabela54[[#This Row],[Kolumna63]]</f>
        <v>0</v>
      </c>
      <c r="AN22" s="122"/>
      <c r="AO22" s="122" t="n">
        <f aca="false">Tabela54[[#This Row],[Kolumna5]]*Tabela54[[#This Row],[Kolumna63]]</f>
        <v>0</v>
      </c>
      <c r="AP22" s="53" t="n">
        <v>0.5</v>
      </c>
      <c r="AQ22" s="29" t="s">
        <v>243</v>
      </c>
      <c r="AR22" s="29" t="s">
        <v>243</v>
      </c>
      <c r="AS22" s="29" t="s">
        <v>243</v>
      </c>
      <c r="AT22" s="29"/>
    </row>
    <row r="23" customFormat="false" ht="30" hidden="false" customHeight="true" outlineLevel="0" collapsed="false">
      <c r="A23" s="25" t="n">
        <v>16</v>
      </c>
      <c r="B23" s="129" t="s">
        <v>241</v>
      </c>
      <c r="C23" s="129" t="s">
        <v>242</v>
      </c>
      <c r="D23" s="134"/>
      <c r="E23" s="135" t="n">
        <v>150</v>
      </c>
      <c r="F2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115.00092</v>
      </c>
      <c r="G23" s="135"/>
      <c r="H23" s="115" t="n">
        <v>3</v>
      </c>
      <c r="I23" s="26" t="n">
        <f aca="false">Tabela43[[#This Row],[Kolumna5]]*20700*0.27778</f>
        <v>17250.138</v>
      </c>
      <c r="J23" s="136" t="n">
        <v>2000</v>
      </c>
      <c r="K23" s="130"/>
      <c r="L23" s="28" t="n">
        <f aca="false">Tabela43[[#This Row],[Kolumna8]]*0.000843882*40190*0.27778</f>
        <v>0</v>
      </c>
      <c r="M23" s="128"/>
      <c r="N23" s="130"/>
      <c r="O23" s="28" t="n">
        <f aca="false">Tabela43[[#This Row],[Kolumna82]]*35.94*0.27778</f>
        <v>0</v>
      </c>
      <c r="P23" s="130"/>
      <c r="Q23" s="130"/>
      <c r="R23" s="130"/>
      <c r="S23" s="116" t="n">
        <f aca="false">Tabela43[[#This Row],[Kolumna92]]*0.65</f>
        <v>0</v>
      </c>
      <c r="T23" s="28" t="n">
        <f aca="false">Tabela43[[#This Row],[Kolumna10]]*15600*0.27778</f>
        <v>0</v>
      </c>
      <c r="U23" s="130"/>
      <c r="V23" s="130"/>
      <c r="W23" s="130"/>
      <c r="X23" s="130"/>
      <c r="Y23" s="130"/>
      <c r="Z23" s="28" t="n">
        <v>2400</v>
      </c>
      <c r="AA23" s="132" t="n">
        <v>2</v>
      </c>
      <c r="AB23" s="132"/>
      <c r="AC23" s="132"/>
      <c r="AD23" s="122" t="n">
        <v>500</v>
      </c>
      <c r="AE23" s="120" t="n">
        <f aca="false">Tabela54[[#This Row],[Kolumna23]]*Tabela54[[#This Row],[Kolumna63]]</f>
        <v>400</v>
      </c>
      <c r="AF23" s="120"/>
      <c r="AG23" s="122"/>
      <c r="AH23" s="122"/>
      <c r="AI23" s="119" t="n">
        <f aca="false">Tabela54[[#This Row],[Kolumna223]]*Tabela54[[#This Row],[Kolumna63]]</f>
        <v>0</v>
      </c>
      <c r="AJ23" s="119"/>
      <c r="AK23" s="119"/>
      <c r="AL23" s="119" t="n">
        <v>600</v>
      </c>
      <c r="AM23" s="119" t="n">
        <f aca="false">Tabela54[[#This Row],[Kolumna322]]*Tabela54[[#This Row],[Kolumna63]]</f>
        <v>480</v>
      </c>
      <c r="AN23" s="119"/>
      <c r="AO23" s="119" t="n">
        <f aca="false">Tabela54[[#This Row],[Kolumna5]]*Tabela54[[#This Row],[Kolumna63]]</f>
        <v>0</v>
      </c>
      <c r="AP23" s="53" t="n">
        <v>0.8</v>
      </c>
      <c r="AQ23" s="29" t="s">
        <v>243</v>
      </c>
      <c r="AR23" s="29" t="s">
        <v>243</v>
      </c>
      <c r="AS23" s="29" t="s">
        <v>243</v>
      </c>
      <c r="AT23" s="29"/>
    </row>
    <row r="24" customFormat="false" ht="30" hidden="false" customHeight="true" outlineLevel="0" collapsed="false">
      <c r="A24" s="40" t="n">
        <v>17</v>
      </c>
      <c r="B24" s="129" t="s">
        <v>241</v>
      </c>
      <c r="C24" s="129" t="s">
        <v>242</v>
      </c>
      <c r="D24" s="134"/>
      <c r="E24" s="135" t="n">
        <v>130</v>
      </c>
      <c r="F2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1315.39501538462</v>
      </c>
      <c r="G24" s="135"/>
      <c r="H24" s="115"/>
      <c r="I24" s="26" t="n">
        <f aca="false">Tabela43[[#This Row],[Kolumna5]]*20700*0.27778</f>
        <v>0</v>
      </c>
      <c r="J24" s="131"/>
      <c r="K24" s="130"/>
      <c r="L24" s="28" t="n">
        <f aca="false">Tabela43[[#This Row],[Kolumna8]]*0.000843882*40190*0.27778</f>
        <v>0</v>
      </c>
      <c r="M24" s="130"/>
      <c r="N24" s="130"/>
      <c r="O24" s="28" t="n">
        <f aca="false">Tabela43[[#This Row],[Kolumna82]]*35.94*0.27778</f>
        <v>0</v>
      </c>
      <c r="P24" s="130"/>
      <c r="Q24" s="130"/>
      <c r="R24" s="130" t="n">
        <v>60</v>
      </c>
      <c r="S24" s="116" t="n">
        <f aca="false">Tabela43[[#This Row],[Kolumna92]]*0.65</f>
        <v>39</v>
      </c>
      <c r="T24" s="28" t="n">
        <f aca="false">Tabela43[[#This Row],[Kolumna10]]*15600*0.27778</f>
        <v>169001.352</v>
      </c>
      <c r="U24" s="130"/>
      <c r="V24" s="130"/>
      <c r="W24" s="130"/>
      <c r="X24" s="130"/>
      <c r="Y24" s="130" t="n">
        <v>2000</v>
      </c>
      <c r="Z24" s="28" t="n">
        <f aca="false">Tabela43[[#This Row],[Kolumna123]]/0.55</f>
        <v>3636.36363636364</v>
      </c>
      <c r="AA24" s="125" t="n">
        <v>2</v>
      </c>
      <c r="AB24" s="125"/>
      <c r="AC24" s="125"/>
      <c r="AD24" s="122"/>
      <c r="AE24" s="120" t="n">
        <f aca="false">Tabela54[[#This Row],[Kolumna23]]*Tabela54[[#This Row],[Kolumna63]]</f>
        <v>0</v>
      </c>
      <c r="AF24" s="120"/>
      <c r="AG24" s="122"/>
      <c r="AH24" s="122"/>
      <c r="AI24" s="119" t="n">
        <f aca="false">Tabela54[[#This Row],[Kolumna223]]*Tabela54[[#This Row],[Kolumna63]]</f>
        <v>0</v>
      </c>
      <c r="AJ24" s="119"/>
      <c r="AK24" s="122"/>
      <c r="AL24" s="122" t="n">
        <v>400</v>
      </c>
      <c r="AM24" s="119" t="n">
        <f aca="false">Tabela54[[#This Row],[Kolumna322]]*Tabela54[[#This Row],[Kolumna63]]</f>
        <v>80</v>
      </c>
      <c r="AN24" s="122"/>
      <c r="AO24" s="122" t="n">
        <f aca="false">Tabela54[[#This Row],[Kolumna5]]*Tabela54[[#This Row],[Kolumna63]]</f>
        <v>0</v>
      </c>
      <c r="AP24" s="53" t="n">
        <v>0.2</v>
      </c>
      <c r="AQ24" s="29" t="s">
        <v>243</v>
      </c>
      <c r="AR24" s="29" t="s">
        <v>243</v>
      </c>
      <c r="AS24" s="29" t="s">
        <v>243</v>
      </c>
      <c r="AT24" s="29"/>
    </row>
    <row r="25" customFormat="false" ht="30" hidden="false" customHeight="true" outlineLevel="0" collapsed="false">
      <c r="A25" s="25" t="n">
        <v>18</v>
      </c>
      <c r="B25" s="129" t="s">
        <v>241</v>
      </c>
      <c r="C25" s="24" t="s">
        <v>242</v>
      </c>
      <c r="D25" s="134"/>
      <c r="E25" s="135" t="n">
        <v>174</v>
      </c>
      <c r="F2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197.767865655172</v>
      </c>
      <c r="G25" s="135"/>
      <c r="H25" s="115" t="n">
        <v>2</v>
      </c>
      <c r="I25" s="26" t="n">
        <f aca="false">Tabela43[[#This Row],[Kolumna5]]*20700*0.27778</f>
        <v>11500.092</v>
      </c>
      <c r="J25" s="131"/>
      <c r="K25" s="130"/>
      <c r="L25" s="28" t="n">
        <f aca="false">Tabela43[[#This Row],[Kolumna8]]*0.000843882*40190*0.27778</f>
        <v>0</v>
      </c>
      <c r="M25" s="130"/>
      <c r="N25" s="130" t="n">
        <v>320</v>
      </c>
      <c r="O25" s="28" t="n">
        <f aca="false">Tabela43[[#This Row],[Kolumna82]]*35.94*0.27778</f>
        <v>3194.692224</v>
      </c>
      <c r="P25" s="130"/>
      <c r="Q25" s="130"/>
      <c r="R25" s="130" t="n">
        <v>7</v>
      </c>
      <c r="S25" s="116" t="n">
        <f aca="false">Tabela43[[#This Row],[Kolumna92]]*0.65</f>
        <v>4.55</v>
      </c>
      <c r="T25" s="28" t="n">
        <f aca="false">Tabela43[[#This Row],[Kolumna10]]*15600*0.27778</f>
        <v>19716.8244</v>
      </c>
      <c r="U25" s="130"/>
      <c r="V25" s="130"/>
      <c r="W25" s="130"/>
      <c r="X25" s="130"/>
      <c r="Y25" s="130"/>
      <c r="Z25" s="28" t="n">
        <v>320</v>
      </c>
      <c r="AA25" s="118" t="n">
        <v>2</v>
      </c>
      <c r="AB25" s="118"/>
      <c r="AC25" s="118"/>
      <c r="AD25" s="119" t="n">
        <v>400</v>
      </c>
      <c r="AE25" s="120" t="n">
        <f aca="false">Tabela54[[#This Row],[Kolumna23]]*Tabela54[[#This Row],[Kolumna63]]</f>
        <v>120</v>
      </c>
      <c r="AF25" s="120"/>
      <c r="AG25" s="137"/>
      <c r="AH25" s="137"/>
      <c r="AI25" s="119" t="n">
        <f aca="false">Tabela54[[#This Row],[Kolumna223]]*Tabela54[[#This Row],[Kolumna63]]</f>
        <v>0</v>
      </c>
      <c r="AJ25" s="119"/>
      <c r="AK25" s="122"/>
      <c r="AL25" s="122" t="n">
        <v>800</v>
      </c>
      <c r="AM25" s="119" t="n">
        <f aca="false">Tabela54[[#This Row],[Kolumna322]]*Tabela54[[#This Row],[Kolumna63]]</f>
        <v>240</v>
      </c>
      <c r="AN25" s="122"/>
      <c r="AO25" s="122" t="n">
        <f aca="false">Tabela54[[#This Row],[Kolumna5]]*Tabela54[[#This Row],[Kolumna63]]</f>
        <v>0</v>
      </c>
      <c r="AP25" s="53" t="n">
        <v>0.3</v>
      </c>
      <c r="AQ25" s="29" t="s">
        <v>243</v>
      </c>
      <c r="AR25" s="29" t="s">
        <v>244</v>
      </c>
      <c r="AS25" s="29" t="s">
        <v>243</v>
      </c>
      <c r="AT25" s="29"/>
    </row>
    <row r="26" customFormat="false" ht="32.25" hidden="false" customHeight="true" outlineLevel="0" collapsed="false">
      <c r="A26" s="25" t="n">
        <v>19</v>
      </c>
      <c r="B26" s="129" t="s">
        <v>241</v>
      </c>
      <c r="C26" s="129" t="s">
        <v>242</v>
      </c>
      <c r="D26" s="114"/>
      <c r="E26" s="115" t="n">
        <v>130</v>
      </c>
      <c r="F2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65.00052</v>
      </c>
      <c r="G26" s="116"/>
      <c r="H26" s="135"/>
      <c r="I26" s="26" t="n">
        <f aca="false">Tabela43[[#This Row],[Kolumna5]]*20700*0.27778</f>
        <v>0</v>
      </c>
      <c r="J26" s="131"/>
      <c r="K26" s="130"/>
      <c r="L26" s="28" t="n">
        <f aca="false">Tabela43[[#This Row],[Kolumna8]]*0.000843882*40190*0.27778</f>
        <v>0</v>
      </c>
      <c r="M26" s="130"/>
      <c r="N26" s="130"/>
      <c r="O26" s="28" t="n">
        <f aca="false">Tabela43[[#This Row],[Kolumna82]]*35.94*0.27778</f>
        <v>0</v>
      </c>
      <c r="P26" s="130"/>
      <c r="Q26" s="130"/>
      <c r="R26" s="130" t="n">
        <v>3</v>
      </c>
      <c r="S26" s="116" t="n">
        <f aca="false">Tabela43[[#This Row],[Kolumna92]]*0.65</f>
        <v>1.95</v>
      </c>
      <c r="T26" s="28" t="n">
        <f aca="false">Tabela43[[#This Row],[Kolumna10]]*15600*0.27778</f>
        <v>8450.0676</v>
      </c>
      <c r="U26" s="130"/>
      <c r="V26" s="130"/>
      <c r="W26" s="130"/>
      <c r="X26" s="130"/>
      <c r="Y26" s="130"/>
      <c r="Z26" s="28"/>
      <c r="AA26" s="125" t="n">
        <v>2</v>
      </c>
      <c r="AB26" s="125"/>
      <c r="AC26" s="125"/>
      <c r="AD26" s="122" t="n">
        <v>20</v>
      </c>
      <c r="AE26" s="120" t="n">
        <f aca="false">Tabela54[[#This Row],[Kolumna23]]*Tabela54[[#This Row],[Kolumna63]]</f>
        <v>14</v>
      </c>
      <c r="AF26" s="120"/>
      <c r="AG26" s="122"/>
      <c r="AH26" s="122" t="n">
        <v>500</v>
      </c>
      <c r="AI26" s="119" t="n">
        <f aca="false">Tabela54[[#This Row],[Kolumna223]]*Tabela54[[#This Row],[Kolumna63]]</f>
        <v>350</v>
      </c>
      <c r="AJ26" s="119"/>
      <c r="AK26" s="122"/>
      <c r="AL26" s="122"/>
      <c r="AM26" s="119" t="n">
        <f aca="false">Tabela54[[#This Row],[Kolumna322]]*Tabela54[[#This Row],[Kolumna63]]</f>
        <v>0</v>
      </c>
      <c r="AN26" s="119" t="n">
        <v>500</v>
      </c>
      <c r="AO26" s="119" t="n">
        <f aca="false">Tabela54[[#This Row],[Kolumna5]]*Tabela54[[#This Row],[Kolumna63]]</f>
        <v>350</v>
      </c>
      <c r="AP26" s="53" t="n">
        <v>0.7</v>
      </c>
      <c r="AQ26" s="29" t="s">
        <v>243</v>
      </c>
      <c r="AR26" s="29" t="s">
        <v>243</v>
      </c>
      <c r="AS26" s="29" t="s">
        <v>243</v>
      </c>
      <c r="AT26" s="29"/>
    </row>
    <row r="27" customFormat="false" ht="30" hidden="false" customHeight="true" outlineLevel="0" collapsed="false">
      <c r="A27" s="40" t="n">
        <v>20</v>
      </c>
      <c r="B27" s="129" t="s">
        <v>241</v>
      </c>
      <c r="C27" s="24" t="s">
        <v>242</v>
      </c>
      <c r="D27" s="134"/>
      <c r="E27" s="135" t="n">
        <v>90</v>
      </c>
      <c r="F2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383.3364</v>
      </c>
      <c r="G27" s="135"/>
      <c r="H27" s="136" t="n">
        <v>6</v>
      </c>
      <c r="I27" s="26" t="n">
        <f aca="false">Tabela43[[#This Row],[Kolumna5]]*20700*0.27778</f>
        <v>34500.276</v>
      </c>
      <c r="J27" s="131"/>
      <c r="K27" s="130"/>
      <c r="L27" s="28" t="n">
        <f aca="false">Tabela43[[#This Row],[Kolumna8]]*0.000843882*40190*0.27778</f>
        <v>0</v>
      </c>
      <c r="M27" s="130"/>
      <c r="N27" s="130"/>
      <c r="O27" s="28" t="n">
        <f aca="false">Tabela43[[#This Row],[Kolumna82]]*35.94*0.27778</f>
        <v>0</v>
      </c>
      <c r="P27" s="130"/>
      <c r="Q27" s="130"/>
      <c r="R27" s="130"/>
      <c r="S27" s="116" t="n">
        <f aca="false">Tabela43[[#This Row],[Kolumna92]]*0.65</f>
        <v>0</v>
      </c>
      <c r="T27" s="28" t="n">
        <f aca="false">Tabela43[[#This Row],[Kolumna10]]*15600*0.27778</f>
        <v>0</v>
      </c>
      <c r="U27" s="130"/>
      <c r="V27" s="130"/>
      <c r="W27" s="130"/>
      <c r="X27" s="130"/>
      <c r="Y27" s="130"/>
      <c r="Z27" s="28"/>
      <c r="AA27" s="125" t="n">
        <v>2</v>
      </c>
      <c r="AB27" s="125"/>
      <c r="AC27" s="125"/>
      <c r="AD27" s="122" t="n">
        <v>1000</v>
      </c>
      <c r="AE27" s="120" t="n">
        <f aca="false">Tabela54[[#This Row],[Kolumna23]]*Tabela54[[#This Row],[Kolumna63]]</f>
        <v>100</v>
      </c>
      <c r="AF27" s="120"/>
      <c r="AG27" s="122"/>
      <c r="AH27" s="122"/>
      <c r="AI27" s="119" t="n">
        <f aca="false">Tabela54[[#This Row],[Kolumna223]]*Tabela54[[#This Row],[Kolumna63]]</f>
        <v>0</v>
      </c>
      <c r="AJ27" s="119"/>
      <c r="AK27" s="122"/>
      <c r="AL27" s="122" t="n">
        <v>500</v>
      </c>
      <c r="AM27" s="119" t="n">
        <f aca="false">Tabela54[[#This Row],[Kolumna322]]*Tabela54[[#This Row],[Kolumna63]]</f>
        <v>50</v>
      </c>
      <c r="AN27" s="122"/>
      <c r="AO27" s="122" t="n">
        <f aca="false">Tabela54[[#This Row],[Kolumna5]]*Tabela54[[#This Row],[Kolumna63]]</f>
        <v>0</v>
      </c>
      <c r="AP27" s="53" t="n">
        <v>0.1</v>
      </c>
      <c r="AQ27" s="29" t="s">
        <v>243</v>
      </c>
      <c r="AR27" s="29" t="s">
        <v>243</v>
      </c>
      <c r="AS27" s="29" t="s">
        <v>243</v>
      </c>
      <c r="AT27" s="29"/>
    </row>
    <row r="28" customFormat="false" ht="30" hidden="false" customHeight="true" outlineLevel="0" collapsed="false">
      <c r="A28" s="25" t="n">
        <v>21</v>
      </c>
      <c r="B28" s="49" t="s">
        <v>241</v>
      </c>
      <c r="C28" s="47" t="s">
        <v>242</v>
      </c>
      <c r="D28" s="134"/>
      <c r="E28" s="135" t="n">
        <v>150</v>
      </c>
      <c r="F2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375.55856</v>
      </c>
      <c r="G28" s="135"/>
      <c r="H28" s="130"/>
      <c r="I28" s="26" t="n">
        <f aca="false">Tabela43[[#This Row],[Kolumna5]]*20700*0.27778</f>
        <v>0</v>
      </c>
      <c r="J28" s="130"/>
      <c r="K28" s="130"/>
      <c r="L28" s="28" t="n">
        <f aca="false">Tabela43[[#This Row],[Kolumna8]]*0.000843882*40190*0.27778</f>
        <v>0</v>
      </c>
      <c r="M28" s="130"/>
      <c r="N28" s="130"/>
      <c r="O28" s="28" t="n">
        <f aca="false">Tabela43[[#This Row],[Kolumna82]]*35.94*0.27778</f>
        <v>0</v>
      </c>
      <c r="P28" s="130"/>
      <c r="Q28" s="130"/>
      <c r="R28" s="130" t="n">
        <v>20</v>
      </c>
      <c r="S28" s="116" t="n">
        <f aca="false">Tabela43[[#This Row],[Kolumna92]]*0.65</f>
        <v>13</v>
      </c>
      <c r="T28" s="28" t="n">
        <f aca="false">Tabela43[[#This Row],[Kolumna10]]*15600*0.27778</f>
        <v>56333.784</v>
      </c>
      <c r="U28" s="138"/>
      <c r="V28" s="130"/>
      <c r="W28" s="130"/>
      <c r="X28" s="130"/>
      <c r="Y28" s="130"/>
      <c r="Z28" s="28" t="n">
        <v>1800</v>
      </c>
      <c r="AA28" s="125" t="n">
        <v>1</v>
      </c>
      <c r="AB28" s="125"/>
      <c r="AC28" s="125"/>
      <c r="AD28" s="122" t="n">
        <v>470</v>
      </c>
      <c r="AE28" s="120" t="n">
        <f aca="false">Tabela54[[#This Row],[Kolumna23]]*Tabela54[[#This Row],[Kolumna63]]</f>
        <v>282</v>
      </c>
      <c r="AF28" s="120"/>
      <c r="AG28" s="122"/>
      <c r="AH28" s="122"/>
      <c r="AI28" s="119" t="n">
        <f aca="false">Tabela54[[#This Row],[Kolumna223]]*Tabela54[[#This Row],[Kolumna63]]</f>
        <v>0</v>
      </c>
      <c r="AJ28" s="119"/>
      <c r="AK28" s="122"/>
      <c r="AL28" s="122"/>
      <c r="AM28" s="119" t="n">
        <f aca="false">Tabela54[[#This Row],[Kolumna322]]*Tabela54[[#This Row],[Kolumna63]]</f>
        <v>0</v>
      </c>
      <c r="AN28" s="122"/>
      <c r="AO28" s="122" t="n">
        <f aca="false">Tabela54[[#This Row],[Kolumna5]]*Tabela54[[#This Row],[Kolumna63]]</f>
        <v>0</v>
      </c>
      <c r="AP28" s="53" t="n">
        <v>0.6</v>
      </c>
      <c r="AQ28" s="29" t="s">
        <v>243</v>
      </c>
      <c r="AR28" s="29" t="s">
        <v>243</v>
      </c>
      <c r="AS28" s="29" t="s">
        <v>244</v>
      </c>
      <c r="AT28" s="29"/>
    </row>
    <row r="29" customFormat="false" ht="27" hidden="false" customHeight="true" outlineLevel="0" collapsed="false">
      <c r="A29" s="25" t="n">
        <v>22</v>
      </c>
      <c r="B29" s="49" t="s">
        <v>241</v>
      </c>
      <c r="C29" s="49" t="s">
        <v>242</v>
      </c>
      <c r="D29" s="134"/>
      <c r="E29" s="135" t="n">
        <v>140</v>
      </c>
      <c r="F2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402.384171428572</v>
      </c>
      <c r="G29" s="135"/>
      <c r="H29" s="130"/>
      <c r="I29" s="26" t="n">
        <f aca="false">Tabela43[[#This Row],[Kolumna5]]*20700*0.27778</f>
        <v>0</v>
      </c>
      <c r="J29" s="130"/>
      <c r="K29" s="130"/>
      <c r="L29" s="28" t="n">
        <f aca="false">Tabela43[[#This Row],[Kolumna8]]*0.000843882*40190*0.27778</f>
        <v>0</v>
      </c>
      <c r="M29" s="130"/>
      <c r="N29" s="130"/>
      <c r="O29" s="28" t="n">
        <f aca="false">Tabela43[[#This Row],[Kolumna82]]*35.94*0.27778</f>
        <v>0</v>
      </c>
      <c r="P29" s="130"/>
      <c r="Q29" s="130"/>
      <c r="R29" s="130" t="n">
        <v>20</v>
      </c>
      <c r="S29" s="116" t="n">
        <f aca="false">Tabela43[[#This Row],[Kolumna92]]*0.65</f>
        <v>13</v>
      </c>
      <c r="T29" s="28" t="n">
        <f aca="false">Tabela43[[#This Row],[Kolumna10]]*15600*0.27778</f>
        <v>56333.784</v>
      </c>
      <c r="U29" s="130"/>
      <c r="V29" s="130"/>
      <c r="W29" s="130"/>
      <c r="X29" s="130"/>
      <c r="Y29" s="130"/>
      <c r="Z29" s="28" t="n">
        <v>1800</v>
      </c>
      <c r="AA29" s="125" t="n">
        <v>1</v>
      </c>
      <c r="AB29" s="125"/>
      <c r="AC29" s="125"/>
      <c r="AD29" s="122" t="n">
        <v>480</v>
      </c>
      <c r="AE29" s="120" t="n">
        <f aca="false">Tabela54[[#This Row],[Kolumna23]]*Tabela54[[#This Row],[Kolumna63]]</f>
        <v>240</v>
      </c>
      <c r="AF29" s="120"/>
      <c r="AG29" s="122"/>
      <c r="AH29" s="122"/>
      <c r="AI29" s="119" t="n">
        <f aca="false">Tabela54[[#This Row],[Kolumna223]]*Tabela54[[#This Row],[Kolumna63]]</f>
        <v>0</v>
      </c>
      <c r="AJ29" s="119"/>
      <c r="AK29" s="122"/>
      <c r="AL29" s="122"/>
      <c r="AM29" s="119" t="n">
        <f aca="false">Tabela54[[#This Row],[Kolumna322]]*Tabela54[[#This Row],[Kolumna63]]</f>
        <v>0</v>
      </c>
      <c r="AN29" s="122"/>
      <c r="AO29" s="122" t="n">
        <f aca="false">Tabela54[[#This Row],[Kolumna5]]*Tabela54[[#This Row],[Kolumna63]]</f>
        <v>0</v>
      </c>
      <c r="AP29" s="53" t="n">
        <v>0.5</v>
      </c>
      <c r="AQ29" s="29" t="s">
        <v>243</v>
      </c>
      <c r="AR29" s="29" t="s">
        <v>243</v>
      </c>
      <c r="AS29" s="29" t="s">
        <v>244</v>
      </c>
      <c r="AT29" s="29"/>
    </row>
    <row r="30" customFormat="false" ht="25.5" hidden="false" customHeight="true" outlineLevel="0" collapsed="false">
      <c r="A30" s="40" t="n">
        <v>23</v>
      </c>
      <c r="B30" s="49" t="s">
        <v>241</v>
      </c>
      <c r="C30" s="47" t="s">
        <v>242</v>
      </c>
      <c r="D30" s="114"/>
      <c r="E30" s="115" t="n">
        <v>120</v>
      </c>
      <c r="F3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273.6132</v>
      </c>
      <c r="G30" s="116"/>
      <c r="H30" s="130" t="n">
        <v>3</v>
      </c>
      <c r="I30" s="26" t="n">
        <f aca="false">Tabela43[[#This Row],[Kolumna5]]*20700*0.27778</f>
        <v>17250.138</v>
      </c>
      <c r="J30" s="130"/>
      <c r="K30" s="130"/>
      <c r="L30" s="28" t="n">
        <f aca="false">Tabela43[[#This Row],[Kolumna8]]*0.000843882*40190*0.27778</f>
        <v>0</v>
      </c>
      <c r="M30" s="130"/>
      <c r="N30" s="130"/>
      <c r="O30" s="28" t="n">
        <f aca="false">Tabela43[[#This Row],[Kolumna82]]*35.94*0.27778</f>
        <v>0</v>
      </c>
      <c r="P30" s="130" t="n">
        <v>13</v>
      </c>
      <c r="Q30" s="130"/>
      <c r="R30" s="130" t="n">
        <v>5</v>
      </c>
      <c r="S30" s="116" t="n">
        <f aca="false">Tabela43[[#This Row],[Kolumna92]]*0.65</f>
        <v>3.25</v>
      </c>
      <c r="T30" s="28" t="n">
        <f aca="false">Tabela43[[#This Row],[Kolumna10]]*15600*0.27778</f>
        <v>14083.446</v>
      </c>
      <c r="U30" s="130"/>
      <c r="V30" s="130"/>
      <c r="W30" s="130"/>
      <c r="X30" s="130"/>
      <c r="Y30" s="130" t="n">
        <v>1500</v>
      </c>
      <c r="Z30" s="28" t="n">
        <f aca="false">Tabela43[[#This Row],[Kolumna123]]/0.55</f>
        <v>2727.27272727273</v>
      </c>
      <c r="AA30" s="125" t="n">
        <v>2</v>
      </c>
      <c r="AB30" s="125"/>
      <c r="AC30" s="125"/>
      <c r="AD30" s="122"/>
      <c r="AE30" s="120" t="n">
        <f aca="false">Tabela54[[#This Row],[Kolumna23]]*Tabela54[[#This Row],[Kolumna63]]</f>
        <v>0</v>
      </c>
      <c r="AF30" s="120"/>
      <c r="AG30" s="122"/>
      <c r="AH30" s="122"/>
      <c r="AI30" s="119" t="n">
        <f aca="false">Tabela54[[#This Row],[Kolumna223]]*Tabela54[[#This Row],[Kolumna63]]</f>
        <v>0</v>
      </c>
      <c r="AJ30" s="119"/>
      <c r="AK30" s="122"/>
      <c r="AL30" s="122" t="n">
        <v>2000</v>
      </c>
      <c r="AM30" s="119" t="n">
        <f aca="false">Tabela54[[#This Row],[Kolumna322]]*Tabela54[[#This Row],[Kolumna63]]</f>
        <v>1400</v>
      </c>
      <c r="AN30" s="122"/>
      <c r="AO30" s="122" t="n">
        <f aca="false">Tabela54[[#This Row],[Kolumna5]]*Tabela54[[#This Row],[Kolumna63]]</f>
        <v>0</v>
      </c>
      <c r="AP30" s="53" t="n">
        <v>0.7</v>
      </c>
      <c r="AQ30" s="29" t="s">
        <v>243</v>
      </c>
      <c r="AR30" s="29" t="s">
        <v>244</v>
      </c>
      <c r="AS30" s="29" t="s">
        <v>243</v>
      </c>
      <c r="AT30" s="29"/>
    </row>
    <row r="31" customFormat="false" ht="28.5" hidden="false" customHeight="true" outlineLevel="0" collapsed="false">
      <c r="A31" s="25" t="n">
        <v>24</v>
      </c>
      <c r="B31" s="49" t="s">
        <v>241</v>
      </c>
      <c r="C31" s="24" t="s">
        <v>242</v>
      </c>
      <c r="D31" s="114"/>
      <c r="E31" s="115" t="n">
        <v>103</v>
      </c>
      <c r="F3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566.315210097087</v>
      </c>
      <c r="G31" s="116"/>
      <c r="H31" s="130"/>
      <c r="I31" s="26" t="n">
        <f aca="false">Tabela43[[#This Row],[Kolumna5]]*20700*0.27778</f>
        <v>0</v>
      </c>
      <c r="J31" s="130"/>
      <c r="K31" s="130"/>
      <c r="L31" s="28" t="n">
        <f aca="false">Tabela43[[#This Row],[Kolumna8]]*0.000843882*40190*0.27778</f>
        <v>0</v>
      </c>
      <c r="M31" s="130"/>
      <c r="N31" s="130" t="n">
        <v>200</v>
      </c>
      <c r="O31" s="28" t="n">
        <f aca="false">Tabela43[[#This Row],[Kolumna82]]*35.94*0.27778</f>
        <v>1996.68264</v>
      </c>
      <c r="P31" s="130"/>
      <c r="Q31" s="130"/>
      <c r="R31" s="130" t="n">
        <v>20</v>
      </c>
      <c r="S31" s="116" t="n">
        <f aca="false">Tabela43[[#This Row],[Kolumna92]]*0.65</f>
        <v>13</v>
      </c>
      <c r="T31" s="28" t="n">
        <f aca="false">Tabela43[[#This Row],[Kolumna10]]*15600*0.27778</f>
        <v>56333.784</v>
      </c>
      <c r="U31" s="130"/>
      <c r="V31" s="130"/>
      <c r="W31" s="130"/>
      <c r="X31" s="130"/>
      <c r="Y31" s="130"/>
      <c r="Z31" s="28" t="n">
        <v>950</v>
      </c>
      <c r="AA31" s="125" t="n">
        <v>1</v>
      </c>
      <c r="AB31" s="125"/>
      <c r="AC31" s="125"/>
      <c r="AD31" s="122" t="n">
        <v>700</v>
      </c>
      <c r="AE31" s="120" t="n">
        <f aca="false">Tabela54[[#This Row],[Kolumna23]]*Tabela54[[#This Row],[Kolumna63]]</f>
        <v>280</v>
      </c>
      <c r="AF31" s="120"/>
      <c r="AG31" s="122"/>
      <c r="AH31" s="122"/>
      <c r="AI31" s="119" t="n">
        <f aca="false">Tabela54[[#This Row],[Kolumna223]]*Tabela54[[#This Row],[Kolumna63]]</f>
        <v>0</v>
      </c>
      <c r="AJ31" s="119"/>
      <c r="AK31" s="122"/>
      <c r="AL31" s="122"/>
      <c r="AM31" s="119" t="n">
        <f aca="false">Tabela54[[#This Row],[Kolumna322]]*Tabela54[[#This Row],[Kolumna63]]</f>
        <v>0</v>
      </c>
      <c r="AN31" s="122"/>
      <c r="AO31" s="122" t="n">
        <f aca="false">Tabela54[[#This Row],[Kolumna5]]*Tabela54[[#This Row],[Kolumna63]]</f>
        <v>0</v>
      </c>
      <c r="AP31" s="53" t="n">
        <v>0.4</v>
      </c>
      <c r="AQ31" s="29" t="s">
        <v>243</v>
      </c>
      <c r="AR31" s="29" t="s">
        <v>244</v>
      </c>
      <c r="AS31" s="29" t="s">
        <v>243</v>
      </c>
      <c r="AT31" s="29"/>
    </row>
    <row r="32" customFormat="false" ht="30" hidden="false" customHeight="true" outlineLevel="0" collapsed="false">
      <c r="A32" s="25" t="n">
        <v>25</v>
      </c>
      <c r="B32" s="24" t="s">
        <v>241</v>
      </c>
      <c r="C32" s="49" t="s">
        <v>242</v>
      </c>
      <c r="D32" s="134"/>
      <c r="E32" s="135"/>
      <c r="F32" s="26" t="e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#DIV/0!</v>
      </c>
      <c r="G32" s="135"/>
      <c r="H32" s="130" t="n">
        <v>6</v>
      </c>
      <c r="I32" s="26" t="n">
        <f aca="false">Tabela43[[#This Row],[Kolumna5]]*20700*0.27778</f>
        <v>34500.276</v>
      </c>
      <c r="J32" s="130"/>
      <c r="K32" s="130"/>
      <c r="L32" s="28" t="n">
        <f aca="false">Tabela43[[#This Row],[Kolumna8]]*0.000843882*40190*0.27778</f>
        <v>0</v>
      </c>
      <c r="M32" s="130"/>
      <c r="N32" s="130"/>
      <c r="O32" s="28" t="n">
        <f aca="false">Tabela43[[#This Row],[Kolumna82]]*35.94*0.27778</f>
        <v>0</v>
      </c>
      <c r="P32" s="130"/>
      <c r="Q32" s="130"/>
      <c r="R32" s="130"/>
      <c r="S32" s="116" t="n">
        <f aca="false">Tabela43[[#This Row],[Kolumna92]]*0.65</f>
        <v>0</v>
      </c>
      <c r="T32" s="28" t="n">
        <f aca="false">Tabela43[[#This Row],[Kolumna10]]*15600*0.27778</f>
        <v>0</v>
      </c>
      <c r="U32" s="130"/>
      <c r="V32" s="130"/>
      <c r="W32" s="130"/>
      <c r="X32" s="130"/>
      <c r="Y32" s="130" t="n">
        <v>1200</v>
      </c>
      <c r="Z32" s="28" t="n">
        <f aca="false">Tabela43[[#This Row],[Kolumna123]]/0.55</f>
        <v>2181.81818181818</v>
      </c>
      <c r="AA32" s="125" t="n">
        <v>2</v>
      </c>
      <c r="AB32" s="125"/>
      <c r="AC32" s="125"/>
      <c r="AD32" s="122" t="n">
        <v>700</v>
      </c>
      <c r="AE32" s="120" t="n">
        <f aca="false">Tabela54[[#This Row],[Kolumna23]]*Tabela54[[#This Row],[Kolumna63]]</f>
        <v>70</v>
      </c>
      <c r="AF32" s="120"/>
      <c r="AG32" s="122"/>
      <c r="AH32" s="122"/>
      <c r="AI32" s="119" t="n">
        <f aca="false">Tabela54[[#This Row],[Kolumna223]]*Tabela54[[#This Row],[Kolumna63]]</f>
        <v>0</v>
      </c>
      <c r="AJ32" s="119"/>
      <c r="AK32" s="122"/>
      <c r="AL32" s="122"/>
      <c r="AM32" s="119" t="n">
        <f aca="false">Tabela54[[#This Row],[Kolumna322]]*Tabela54[[#This Row],[Kolumna63]]</f>
        <v>0</v>
      </c>
      <c r="AN32" s="122"/>
      <c r="AO32" s="122" t="n">
        <f aca="false">Tabela54[[#This Row],[Kolumna5]]*Tabela54[[#This Row],[Kolumna63]]</f>
        <v>0</v>
      </c>
      <c r="AP32" s="53" t="n">
        <v>0.1</v>
      </c>
      <c r="AQ32" s="29" t="s">
        <v>243</v>
      </c>
      <c r="AR32" s="29" t="s">
        <v>243</v>
      </c>
      <c r="AS32" s="29" t="s">
        <v>243</v>
      </c>
      <c r="AT32" s="29"/>
    </row>
    <row r="33" customFormat="false" ht="30" hidden="false" customHeight="true" outlineLevel="0" collapsed="false">
      <c r="A33" s="40" t="n">
        <v>26</v>
      </c>
      <c r="B33" s="27" t="s">
        <v>241</v>
      </c>
      <c r="C33" s="49" t="s">
        <v>242</v>
      </c>
      <c r="D33" s="134"/>
      <c r="E33" s="135" t="n">
        <v>80</v>
      </c>
      <c r="F3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153.75115</v>
      </c>
      <c r="G33" s="135"/>
      <c r="H33" s="130" t="n">
        <v>2</v>
      </c>
      <c r="I33" s="26" t="n">
        <f aca="false">Tabela43[[#This Row],[Kolumna5]]*20700*0.27778</f>
        <v>11500.092</v>
      </c>
      <c r="J33" s="130"/>
      <c r="K33" s="130"/>
      <c r="L33" s="28" t="n">
        <f aca="false">Tabela43[[#This Row],[Kolumna8]]*0.000843882*40190*0.27778</f>
        <v>0</v>
      </c>
      <c r="M33" s="130"/>
      <c r="N33" s="130"/>
      <c r="O33" s="28" t="n">
        <f aca="false">Tabela43[[#This Row],[Kolumna82]]*35.94*0.27778</f>
        <v>0</v>
      </c>
      <c r="P33" s="130"/>
      <c r="Q33" s="130"/>
      <c r="R33" s="130"/>
      <c r="S33" s="116" t="n">
        <f aca="false">Tabela43[[#This Row],[Kolumna92]]*0.65</f>
        <v>0</v>
      </c>
      <c r="T33" s="28" t="n">
        <f aca="false">Tabela43[[#This Row],[Kolumna10]]*15600*0.27778</f>
        <v>0</v>
      </c>
      <c r="U33" s="130"/>
      <c r="V33" s="130"/>
      <c r="W33" s="130"/>
      <c r="X33" s="130"/>
      <c r="Y33" s="130" t="n">
        <v>800</v>
      </c>
      <c r="Z33" s="28" t="n">
        <f aca="false">Tabela43[[#This Row],[Kolumna123]]/0.55</f>
        <v>1454.54545454545</v>
      </c>
      <c r="AA33" s="125" t="n">
        <v>0</v>
      </c>
      <c r="AB33" s="125"/>
      <c r="AC33" s="125"/>
      <c r="AD33" s="122"/>
      <c r="AE33" s="120" t="n">
        <f aca="false">Tabela54[[#This Row],[Kolumna23]]*Tabela54[[#This Row],[Kolumna63]]</f>
        <v>0</v>
      </c>
      <c r="AF33" s="120"/>
      <c r="AG33" s="122"/>
      <c r="AH33" s="122"/>
      <c r="AI33" s="119" t="n">
        <f aca="false">Tabela54[[#This Row],[Kolumna223]]*Tabela54[[#This Row],[Kolumna63]]</f>
        <v>0</v>
      </c>
      <c r="AJ33" s="119"/>
      <c r="AK33" s="122"/>
      <c r="AL33" s="122"/>
      <c r="AM33" s="119" t="n">
        <f aca="false">Tabela54[[#This Row],[Kolumna322]]*Tabela54[[#This Row],[Kolumna63]]</f>
        <v>0</v>
      </c>
      <c r="AN33" s="122"/>
      <c r="AO33" s="122" t="n">
        <f aca="false">Tabela54[[#This Row],[Kolumna5]]*Tabela54[[#This Row],[Kolumna63]]</f>
        <v>0</v>
      </c>
      <c r="AP33" s="53"/>
      <c r="AQ33" s="29" t="s">
        <v>243</v>
      </c>
      <c r="AR33" s="29" t="s">
        <v>243</v>
      </c>
      <c r="AS33" s="29" t="s">
        <v>243</v>
      </c>
      <c r="AT33" s="29"/>
    </row>
    <row r="34" customFormat="false" ht="30" hidden="false" customHeight="true" outlineLevel="0" collapsed="false">
      <c r="A34" s="25" t="n">
        <v>27</v>
      </c>
      <c r="B34" s="27" t="s">
        <v>241</v>
      </c>
      <c r="C34" s="49" t="s">
        <v>242</v>
      </c>
      <c r="D34" s="134"/>
      <c r="E34" s="135" t="n">
        <v>60</v>
      </c>
      <c r="F3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469.4482</v>
      </c>
      <c r="G34" s="135"/>
      <c r="H34" s="130"/>
      <c r="I34" s="26" t="n">
        <f aca="false">Tabela43[[#This Row],[Kolumna5]]*20700*0.27778</f>
        <v>0</v>
      </c>
      <c r="J34" s="130"/>
      <c r="K34" s="130"/>
      <c r="L34" s="28" t="n">
        <f aca="false">Tabela43[[#This Row],[Kolumna8]]*0.000843882*40190*0.27778</f>
        <v>0</v>
      </c>
      <c r="M34" s="130"/>
      <c r="N34" s="130"/>
      <c r="O34" s="28" t="n">
        <f aca="false">Tabela43[[#This Row],[Kolumna82]]*35.94*0.27778</f>
        <v>0</v>
      </c>
      <c r="P34" s="130"/>
      <c r="Q34" s="130"/>
      <c r="R34" s="130" t="n">
        <v>10</v>
      </c>
      <c r="S34" s="116" t="n">
        <f aca="false">Tabela43[[#This Row],[Kolumna92]]*0.65</f>
        <v>6.5</v>
      </c>
      <c r="T34" s="28" t="n">
        <f aca="false">Tabela43[[#This Row],[Kolumna10]]*15600*0.27778</f>
        <v>28166.892</v>
      </c>
      <c r="U34" s="130"/>
      <c r="V34" s="130"/>
      <c r="W34" s="130"/>
      <c r="X34" s="130"/>
      <c r="Y34" s="130"/>
      <c r="Z34" s="28"/>
      <c r="AA34" s="125" t="n">
        <v>1</v>
      </c>
      <c r="AB34" s="125"/>
      <c r="AC34" s="125"/>
      <c r="AD34" s="122" t="n">
        <v>100</v>
      </c>
      <c r="AE34" s="120" t="n">
        <f aca="false">Tabela54[[#This Row],[Kolumna23]]*Tabela54[[#This Row],[Kolumna63]]</f>
        <v>100</v>
      </c>
      <c r="AF34" s="120"/>
      <c r="AG34" s="122"/>
      <c r="AH34" s="122"/>
      <c r="AI34" s="119" t="n">
        <f aca="false">Tabela54[[#This Row],[Kolumna223]]*Tabela54[[#This Row],[Kolumna63]]</f>
        <v>0</v>
      </c>
      <c r="AJ34" s="119"/>
      <c r="AK34" s="122"/>
      <c r="AL34" s="122"/>
      <c r="AM34" s="119" t="n">
        <f aca="false">Tabela54[[#This Row],[Kolumna322]]*Tabela54[[#This Row],[Kolumna63]]</f>
        <v>0</v>
      </c>
      <c r="AN34" s="122"/>
      <c r="AO34" s="122" t="n">
        <f aca="false">Tabela54[[#This Row],[Kolumna5]]*Tabela54[[#This Row],[Kolumna63]]</f>
        <v>0</v>
      </c>
      <c r="AP34" s="53" t="n">
        <v>1</v>
      </c>
      <c r="AQ34" s="29" t="s">
        <v>243</v>
      </c>
      <c r="AR34" s="29" t="s">
        <v>243</v>
      </c>
      <c r="AS34" s="29" t="s">
        <v>243</v>
      </c>
      <c r="AT34" s="29"/>
    </row>
    <row r="35" customFormat="false" ht="30" hidden="false" customHeight="true" outlineLevel="0" collapsed="false">
      <c r="A35" s="25" t="n">
        <v>28</v>
      </c>
      <c r="B35" s="27" t="s">
        <v>241</v>
      </c>
      <c r="C35" s="49" t="s">
        <v>242</v>
      </c>
      <c r="D35" s="134"/>
      <c r="E35" s="135" t="n">
        <v>160</v>
      </c>
      <c r="F3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264.0646125</v>
      </c>
      <c r="G35" s="135"/>
      <c r="H35" s="130"/>
      <c r="I35" s="26" t="n">
        <f aca="false">Tabela43[[#This Row],[Kolumna5]]*20700*0.27778</f>
        <v>0</v>
      </c>
      <c r="J35" s="130"/>
      <c r="K35" s="130"/>
      <c r="L35" s="28" t="n">
        <f aca="false">Tabela43[[#This Row],[Kolumna8]]*0.000843882*40190*0.27778</f>
        <v>0</v>
      </c>
      <c r="M35" s="130"/>
      <c r="N35" s="130"/>
      <c r="O35" s="28" t="n">
        <f aca="false">Tabela43[[#This Row],[Kolumna82]]*35.94*0.27778</f>
        <v>0</v>
      </c>
      <c r="P35" s="130"/>
      <c r="Q35" s="130"/>
      <c r="R35" s="130" t="n">
        <v>15</v>
      </c>
      <c r="S35" s="116" t="n">
        <f aca="false">Tabela43[[#This Row],[Kolumna92]]*0.65</f>
        <v>9.75</v>
      </c>
      <c r="T35" s="28" t="n">
        <f aca="false">Tabela43[[#This Row],[Kolumna10]]*15600*0.27778</f>
        <v>42250.338</v>
      </c>
      <c r="U35" s="130"/>
      <c r="V35" s="130"/>
      <c r="W35" s="130"/>
      <c r="X35" s="130"/>
      <c r="Y35" s="130"/>
      <c r="Z35" s="28" t="n">
        <v>2000</v>
      </c>
      <c r="AA35" s="125" t="n">
        <v>2</v>
      </c>
      <c r="AB35" s="125"/>
      <c r="AC35" s="125"/>
      <c r="AD35" s="122" t="n">
        <v>1000</v>
      </c>
      <c r="AE35" s="120" t="n">
        <f aca="false">Tabela54[[#This Row],[Kolumna23]]*Tabela54[[#This Row],[Kolumna63]]</f>
        <v>200</v>
      </c>
      <c r="AF35" s="120"/>
      <c r="AG35" s="122"/>
      <c r="AH35" s="122" t="n">
        <v>2000</v>
      </c>
      <c r="AI35" s="119" t="n">
        <f aca="false">Tabela54[[#This Row],[Kolumna223]]*Tabela54[[#This Row],[Kolumna63]]</f>
        <v>400</v>
      </c>
      <c r="AJ35" s="119"/>
      <c r="AK35" s="122"/>
      <c r="AL35" s="122"/>
      <c r="AM35" s="119" t="n">
        <f aca="false">Tabela54[[#This Row],[Kolumna322]]*Tabela54[[#This Row],[Kolumna63]]</f>
        <v>0</v>
      </c>
      <c r="AN35" s="122"/>
      <c r="AO35" s="122" t="n">
        <f aca="false">Tabela54[[#This Row],[Kolumna5]]*Tabela54[[#This Row],[Kolumna63]]</f>
        <v>0</v>
      </c>
      <c r="AP35" s="53" t="n">
        <v>0.2</v>
      </c>
      <c r="AQ35" s="29" t="s">
        <v>243</v>
      </c>
      <c r="AR35" s="29" t="s">
        <v>243</v>
      </c>
      <c r="AS35" s="29" t="s">
        <v>243</v>
      </c>
      <c r="AT35" s="29"/>
    </row>
    <row r="36" customFormat="false" ht="30" hidden="false" customHeight="true" outlineLevel="0" collapsed="false">
      <c r="A36" s="40" t="n">
        <v>29</v>
      </c>
      <c r="B36" s="27" t="s">
        <v>241</v>
      </c>
      <c r="C36" s="49" t="s">
        <v>242</v>
      </c>
      <c r="D36" s="134"/>
      <c r="E36" s="135" t="n">
        <v>140</v>
      </c>
      <c r="F3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162.620348571429</v>
      </c>
      <c r="G36" s="135"/>
      <c r="H36" s="130" t="n">
        <v>2</v>
      </c>
      <c r="I36" s="26" t="n">
        <f aca="false">Tabela43[[#This Row],[Kolumna5]]*20700*0.27778</f>
        <v>11500.092</v>
      </c>
      <c r="J36" s="130"/>
      <c r="K36" s="130"/>
      <c r="L36" s="28" t="n">
        <f aca="false">Tabela43[[#This Row],[Kolumna8]]*0.000843882*40190*0.27778</f>
        <v>0</v>
      </c>
      <c r="M36" s="130"/>
      <c r="N36" s="130"/>
      <c r="O36" s="28" t="n">
        <f aca="false">Tabela43[[#This Row],[Kolumna82]]*35.94*0.27778</f>
        <v>0</v>
      </c>
      <c r="P36" s="130" t="n">
        <v>5</v>
      </c>
      <c r="Q36" s="130"/>
      <c r="R36" s="130" t="n">
        <v>4</v>
      </c>
      <c r="S36" s="116" t="n">
        <f aca="false">Tabela43[[#This Row],[Kolumna92]]*0.65</f>
        <v>2.6</v>
      </c>
      <c r="T36" s="28" t="n">
        <f aca="false">Tabela43[[#This Row],[Kolumna10]]*15600*0.27778</f>
        <v>11266.7568</v>
      </c>
      <c r="U36" s="130"/>
      <c r="V36" s="130"/>
      <c r="W36" s="130"/>
      <c r="X36" s="130"/>
      <c r="Y36" s="130"/>
      <c r="Z36" s="28"/>
      <c r="AA36" s="125" t="n">
        <v>2</v>
      </c>
      <c r="AB36" s="125"/>
      <c r="AC36" s="125"/>
      <c r="AD36" s="122"/>
      <c r="AE36" s="120" t="n">
        <f aca="false">Tabela54[[#This Row],[Kolumna23]]*Tabela54[[#This Row],[Kolumna63]]</f>
        <v>0</v>
      </c>
      <c r="AF36" s="120"/>
      <c r="AG36" s="122"/>
      <c r="AH36" s="122"/>
      <c r="AI36" s="119" t="n">
        <f aca="false">Tabela54[[#This Row],[Kolumna223]]*Tabela54[[#This Row],[Kolumna63]]</f>
        <v>0</v>
      </c>
      <c r="AJ36" s="119"/>
      <c r="AK36" s="122"/>
      <c r="AL36" s="122" t="n">
        <v>300</v>
      </c>
      <c r="AM36" s="119" t="n">
        <f aca="false">Tabela54[[#This Row],[Kolumna322]]*Tabela54[[#This Row],[Kolumna63]]</f>
        <v>270</v>
      </c>
      <c r="AN36" s="122"/>
      <c r="AO36" s="122" t="n">
        <f aca="false">Tabela54[[#This Row],[Kolumna5]]*Tabela54[[#This Row],[Kolumna63]]</f>
        <v>0</v>
      </c>
      <c r="AP36" s="53" t="n">
        <v>0.9</v>
      </c>
      <c r="AQ36" s="29" t="s">
        <v>243</v>
      </c>
      <c r="AR36" s="29" t="s">
        <v>243</v>
      </c>
      <c r="AS36" s="29" t="s">
        <v>243</v>
      </c>
      <c r="AT36" s="29"/>
    </row>
    <row r="37" customFormat="false" ht="30" hidden="false" customHeight="true" outlineLevel="0" collapsed="false">
      <c r="A37" s="25" t="n">
        <v>30</v>
      </c>
      <c r="B37" s="27" t="s">
        <v>241</v>
      </c>
      <c r="C37" s="49" t="s">
        <v>242</v>
      </c>
      <c r="D37" s="134"/>
      <c r="E37" s="135" t="n">
        <v>110</v>
      </c>
      <c r="F3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719.657272363636</v>
      </c>
      <c r="G37" s="135"/>
      <c r="H37" s="130" t="n">
        <v>1</v>
      </c>
      <c r="I37" s="26" t="n">
        <f aca="false">Tabela43[[#This Row],[Kolumna5]]*20700*0.27778</f>
        <v>5750.046</v>
      </c>
      <c r="J37" s="130"/>
      <c r="K37" s="130"/>
      <c r="L37" s="28" t="n">
        <f aca="false">Tabela43[[#This Row],[Kolumna8]]*0.000843882*40190*0.27778</f>
        <v>0</v>
      </c>
      <c r="M37" s="130"/>
      <c r="N37" s="130" t="n">
        <v>300</v>
      </c>
      <c r="O37" s="28" t="n">
        <f aca="false">Tabela43[[#This Row],[Kolumna82]]*35.94*0.27778</f>
        <v>2995.02396</v>
      </c>
      <c r="P37" s="130"/>
      <c r="Q37" s="130"/>
      <c r="R37" s="130" t="n">
        <v>25</v>
      </c>
      <c r="S37" s="116" t="n">
        <f aca="false">Tabela43[[#This Row],[Kolumna92]]*0.65</f>
        <v>16.25</v>
      </c>
      <c r="T37" s="28" t="n">
        <f aca="false">Tabela43[[#This Row],[Kolumna10]]*15600*0.27778</f>
        <v>70417.23</v>
      </c>
      <c r="U37" s="130"/>
      <c r="V37" s="130"/>
      <c r="W37" s="130"/>
      <c r="X37" s="130"/>
      <c r="Y37" s="130"/>
      <c r="Z37" s="28"/>
      <c r="AA37" s="125" t="n">
        <v>3</v>
      </c>
      <c r="AB37" s="125"/>
      <c r="AC37" s="125"/>
      <c r="AD37" s="122" t="n">
        <v>3000</v>
      </c>
      <c r="AE37" s="120" t="n">
        <f aca="false">Tabela54[[#This Row],[Kolumna23]]*Tabela54[[#This Row],[Kolumna63]]</f>
        <v>2400</v>
      </c>
      <c r="AF37" s="120"/>
      <c r="AG37" s="122"/>
      <c r="AH37" s="122"/>
      <c r="AI37" s="119" t="n">
        <f aca="false">Tabela54[[#This Row],[Kolumna223]]*Tabela54[[#This Row],[Kolumna63]]</f>
        <v>0</v>
      </c>
      <c r="AJ37" s="119"/>
      <c r="AK37" s="122"/>
      <c r="AL37" s="122" t="n">
        <v>3000</v>
      </c>
      <c r="AM37" s="119" t="n">
        <f aca="false">Tabela54[[#This Row],[Kolumna322]]*Tabela54[[#This Row],[Kolumna63]]</f>
        <v>2400</v>
      </c>
      <c r="AN37" s="122"/>
      <c r="AO37" s="122" t="n">
        <f aca="false">Tabela54[[#This Row],[Kolumna5]]*Tabela54[[#This Row],[Kolumna63]]</f>
        <v>0</v>
      </c>
      <c r="AP37" s="53" t="n">
        <v>0.8</v>
      </c>
      <c r="AQ37" s="29" t="s">
        <v>243</v>
      </c>
      <c r="AR37" s="29" t="s">
        <v>243</v>
      </c>
      <c r="AS37" s="29" t="s">
        <v>243</v>
      </c>
      <c r="AT37" s="29"/>
    </row>
    <row r="38" customFormat="false" ht="30" hidden="false" customHeight="true" outlineLevel="0" collapsed="false">
      <c r="A38" s="25" t="n">
        <v>31</v>
      </c>
      <c r="B38" s="27" t="s">
        <v>241</v>
      </c>
      <c r="C38" s="49" t="s">
        <v>246</v>
      </c>
      <c r="D38" s="134"/>
      <c r="E38" s="135" t="n">
        <v>80</v>
      </c>
      <c r="F3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292.08561</v>
      </c>
      <c r="G38" s="135"/>
      <c r="H38" s="130" t="n">
        <v>2</v>
      </c>
      <c r="I38" s="26" t="n">
        <f aca="false">Tabela43[[#This Row],[Kolumna5]]*20700*0.27778</f>
        <v>11500.092</v>
      </c>
      <c r="J38" s="130"/>
      <c r="K38" s="130"/>
      <c r="L38" s="28" t="n">
        <f aca="false">Tabela43[[#This Row],[Kolumna8]]*0.000843882*40190*0.27778</f>
        <v>0</v>
      </c>
      <c r="M38" s="130"/>
      <c r="N38" s="130"/>
      <c r="O38" s="28" t="n">
        <f aca="false">Tabela43[[#This Row],[Kolumna82]]*35.94*0.27778</f>
        <v>0</v>
      </c>
      <c r="P38" s="130"/>
      <c r="Q38" s="130"/>
      <c r="R38" s="130" t="n">
        <v>4</v>
      </c>
      <c r="S38" s="116" t="n">
        <f aca="false">Tabela43[[#This Row],[Kolumna92]]*0.65</f>
        <v>2.6</v>
      </c>
      <c r="T38" s="28" t="n">
        <f aca="false">Tabela43[[#This Row],[Kolumna10]]*15600*0.27778</f>
        <v>11266.7568</v>
      </c>
      <c r="U38" s="130"/>
      <c r="V38" s="130"/>
      <c r="W38" s="130"/>
      <c r="X38" s="130"/>
      <c r="Y38" s="130" t="n">
        <v>600</v>
      </c>
      <c r="Z38" s="28" t="n">
        <f aca="false">Tabela43[[#This Row],[Kolumna123]]/0.55</f>
        <v>1090.90909090909</v>
      </c>
      <c r="AA38" s="125" t="n">
        <v>1</v>
      </c>
      <c r="AB38" s="125"/>
      <c r="AC38" s="125"/>
      <c r="AD38" s="122"/>
      <c r="AE38" s="120" t="n">
        <f aca="false">Tabela54[[#This Row],[Kolumna23]]*Tabela54[[#This Row],[Kolumna63]]</f>
        <v>0</v>
      </c>
      <c r="AF38" s="120"/>
      <c r="AG38" s="122"/>
      <c r="AH38" s="122"/>
      <c r="AI38" s="119" t="n">
        <f aca="false">Tabela54[[#This Row],[Kolumna223]]*Tabela54[[#This Row],[Kolumna63]]</f>
        <v>0</v>
      </c>
      <c r="AJ38" s="119"/>
      <c r="AK38" s="122"/>
      <c r="AL38" s="122" t="n">
        <v>100</v>
      </c>
      <c r="AM38" s="119" t="n">
        <f aca="false">Tabela54[[#This Row],[Kolumna322]]*Tabela54[[#This Row],[Kolumna63]]</f>
        <v>75</v>
      </c>
      <c r="AN38" s="122"/>
      <c r="AO38" s="122" t="n">
        <f aca="false">Tabela54[[#This Row],[Kolumna5]]*Tabela54[[#This Row],[Kolumna63]]</f>
        <v>0</v>
      </c>
      <c r="AP38" s="53" t="n">
        <v>0.75</v>
      </c>
      <c r="AQ38" s="29" t="s">
        <v>243</v>
      </c>
      <c r="AR38" s="29" t="s">
        <v>243</v>
      </c>
      <c r="AS38" s="29" t="s">
        <v>243</v>
      </c>
      <c r="AT38" s="29"/>
    </row>
    <row r="39" customFormat="false" ht="30" hidden="false" customHeight="true" outlineLevel="0" collapsed="false">
      <c r="A39" s="40" t="n">
        <v>32</v>
      </c>
      <c r="B39" s="27" t="s">
        <v>241</v>
      </c>
      <c r="C39" s="49" t="s">
        <v>242</v>
      </c>
      <c r="D39" s="134"/>
      <c r="E39" s="135" t="n">
        <v>80</v>
      </c>
      <c r="F3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117.334132</v>
      </c>
      <c r="G39" s="135"/>
      <c r="H39" s="130"/>
      <c r="I39" s="26" t="n">
        <f aca="false">Tabela43[[#This Row],[Kolumna5]]*20700*0.27778</f>
        <v>0</v>
      </c>
      <c r="J39" s="130"/>
      <c r="K39" s="130"/>
      <c r="L39" s="28" t="n">
        <f aca="false">Tabela43[[#This Row],[Kolumna8]]*0.000843882*40190*0.27778</f>
        <v>0</v>
      </c>
      <c r="M39" s="130"/>
      <c r="N39" s="130" t="n">
        <v>800</v>
      </c>
      <c r="O39" s="28" t="n">
        <f aca="false">Tabela43[[#This Row],[Kolumna82]]*35.94*0.27778</f>
        <v>7986.73056</v>
      </c>
      <c r="P39" s="130"/>
      <c r="Q39" s="130"/>
      <c r="R39" s="130"/>
      <c r="S39" s="116" t="n">
        <f aca="false">Tabela43[[#This Row],[Kolumna92]]*0.65</f>
        <v>0</v>
      </c>
      <c r="T39" s="28" t="n">
        <f aca="false">Tabela43[[#This Row],[Kolumna10]]*15600*0.27778</f>
        <v>0</v>
      </c>
      <c r="U39" s="130"/>
      <c r="V39" s="130"/>
      <c r="W39" s="130"/>
      <c r="X39" s="130"/>
      <c r="Y39" s="130" t="n">
        <v>1400</v>
      </c>
      <c r="Z39" s="28" t="n">
        <f aca="false">Tabela43[[#This Row],[Kolumna123]]/0.55</f>
        <v>2545.45454545454</v>
      </c>
      <c r="AA39" s="125" t="n">
        <v>2</v>
      </c>
      <c r="AB39" s="125"/>
      <c r="AC39" s="125"/>
      <c r="AD39" s="122"/>
      <c r="AE39" s="120" t="n">
        <f aca="false">Tabela54[[#This Row],[Kolumna23]]*Tabela54[[#This Row],[Kolumna63]]</f>
        <v>0</v>
      </c>
      <c r="AF39" s="120"/>
      <c r="AG39" s="122"/>
      <c r="AH39" s="122"/>
      <c r="AI39" s="119" t="n">
        <f aca="false">Tabela54[[#This Row],[Kolumna223]]*Tabela54[[#This Row],[Kolumna63]]</f>
        <v>0</v>
      </c>
      <c r="AJ39" s="119"/>
      <c r="AK39" s="122"/>
      <c r="AL39" s="122" t="n">
        <v>1400</v>
      </c>
      <c r="AM39" s="119" t="n">
        <f aca="false">Tabela54[[#This Row],[Kolumna322]]*Tabela54[[#This Row],[Kolumna63]]</f>
        <v>700</v>
      </c>
      <c r="AN39" s="122"/>
      <c r="AO39" s="122" t="n">
        <f aca="false">Tabela54[[#This Row],[Kolumna5]]*Tabela54[[#This Row],[Kolumna63]]</f>
        <v>0</v>
      </c>
      <c r="AP39" s="53" t="n">
        <v>0.5</v>
      </c>
      <c r="AQ39" s="29" t="s">
        <v>243</v>
      </c>
      <c r="AR39" s="29" t="s">
        <v>243</v>
      </c>
      <c r="AS39" s="29" t="s">
        <v>243</v>
      </c>
      <c r="AT39" s="29"/>
    </row>
    <row r="40" customFormat="false" ht="30" hidden="false" customHeight="true" outlineLevel="0" collapsed="false">
      <c r="A40" s="25" t="n">
        <v>33</v>
      </c>
      <c r="B40" s="27" t="s">
        <v>241</v>
      </c>
      <c r="C40" s="49" t="s">
        <v>242</v>
      </c>
      <c r="D40" s="134"/>
      <c r="E40" s="135" t="n">
        <v>120</v>
      </c>
      <c r="F4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474.4399066</v>
      </c>
      <c r="G40" s="135"/>
      <c r="H40" s="130"/>
      <c r="I40" s="26" t="n">
        <f aca="false">Tabela43[[#This Row],[Kolumna5]]*20700*0.27778</f>
        <v>0</v>
      </c>
      <c r="J40" s="130"/>
      <c r="K40" s="130"/>
      <c r="L40" s="28" t="n">
        <f aca="false">Tabela43[[#This Row],[Kolumna8]]*0.000843882*40190*0.27778</f>
        <v>0</v>
      </c>
      <c r="M40" s="130"/>
      <c r="N40" s="130" t="n">
        <v>60</v>
      </c>
      <c r="O40" s="28" t="n">
        <f aca="false">Tabela43[[#This Row],[Kolumna82]]*35.94*0.27778</f>
        <v>599.004792</v>
      </c>
      <c r="P40" s="130"/>
      <c r="Q40" s="130"/>
      <c r="R40" s="130" t="n">
        <v>20</v>
      </c>
      <c r="S40" s="116" t="n">
        <f aca="false">Tabela43[[#This Row],[Kolumna92]]*0.65</f>
        <v>13</v>
      </c>
      <c r="T40" s="28" t="n">
        <f aca="false">Tabela43[[#This Row],[Kolumna10]]*15600*0.27778</f>
        <v>56333.784</v>
      </c>
      <c r="U40" s="130"/>
      <c r="V40" s="130"/>
      <c r="W40" s="130"/>
      <c r="X40" s="130"/>
      <c r="Y40" s="130"/>
      <c r="Z40" s="28" t="n">
        <v>2844</v>
      </c>
      <c r="AA40" s="125" t="n">
        <v>2</v>
      </c>
      <c r="AB40" s="125"/>
      <c r="AC40" s="125"/>
      <c r="AD40" s="122" t="n">
        <v>220</v>
      </c>
      <c r="AE40" s="120" t="n">
        <f aca="false">Tabela54[[#This Row],[Kolumna23]]*Tabela54[[#This Row],[Kolumna63]]</f>
        <v>176</v>
      </c>
      <c r="AF40" s="120"/>
      <c r="AG40" s="122"/>
      <c r="AH40" s="122"/>
      <c r="AI40" s="119" t="n">
        <f aca="false">Tabela54[[#This Row],[Kolumna223]]*Tabela54[[#This Row],[Kolumna63]]</f>
        <v>0</v>
      </c>
      <c r="AJ40" s="119"/>
      <c r="AK40" s="122"/>
      <c r="AL40" s="122" t="n">
        <v>500</v>
      </c>
      <c r="AM40" s="119" t="n">
        <f aca="false">Tabela54[[#This Row],[Kolumna322]]*Tabela54[[#This Row],[Kolumna63]]</f>
        <v>400</v>
      </c>
      <c r="AN40" s="122"/>
      <c r="AO40" s="122" t="n">
        <f aca="false">Tabela54[[#This Row],[Kolumna5]]*Tabela54[[#This Row],[Kolumna63]]</f>
        <v>0</v>
      </c>
      <c r="AP40" s="53" t="n">
        <v>0.8</v>
      </c>
      <c r="AQ40" s="29" t="s">
        <v>243</v>
      </c>
      <c r="AR40" s="29" t="s">
        <v>243</v>
      </c>
      <c r="AS40" s="29" t="s">
        <v>244</v>
      </c>
      <c r="AT40" s="29"/>
    </row>
    <row r="41" customFormat="false" ht="30" hidden="false" customHeight="true" outlineLevel="0" collapsed="false">
      <c r="A41" s="25" t="n">
        <v>34</v>
      </c>
      <c r="B41" s="27" t="s">
        <v>241</v>
      </c>
      <c r="C41" s="49" t="s">
        <v>242</v>
      </c>
      <c r="D41" s="134"/>
      <c r="E41" s="135" t="n">
        <v>75</v>
      </c>
      <c r="F4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378.669696</v>
      </c>
      <c r="G41" s="135"/>
      <c r="H41" s="130" t="n">
        <v>2</v>
      </c>
      <c r="I41" s="26" t="n">
        <f aca="false">Tabela43[[#This Row],[Kolumna5]]*20700*0.27778</f>
        <v>11500.092</v>
      </c>
      <c r="J41" s="130"/>
      <c r="K41" s="130"/>
      <c r="L41" s="28" t="n">
        <f aca="false">Tabela43[[#This Row],[Kolumna8]]*0.000843882*40190*0.27778</f>
        <v>0</v>
      </c>
      <c r="M41" s="130"/>
      <c r="N41" s="130"/>
      <c r="O41" s="28" t="n">
        <f aca="false">Tabela43[[#This Row],[Kolumna82]]*35.94*0.27778</f>
        <v>0</v>
      </c>
      <c r="P41" s="130"/>
      <c r="Q41" s="130"/>
      <c r="R41" s="130" t="n">
        <v>6</v>
      </c>
      <c r="S41" s="116" t="n">
        <f aca="false">Tabela43[[#This Row],[Kolumna92]]*0.65</f>
        <v>3.9</v>
      </c>
      <c r="T41" s="28" t="n">
        <f aca="false">Tabela43[[#This Row],[Kolumna10]]*15600*0.27778</f>
        <v>16900.1352</v>
      </c>
      <c r="U41" s="130"/>
      <c r="V41" s="130"/>
      <c r="W41" s="130"/>
      <c r="X41" s="130"/>
      <c r="Y41" s="130"/>
      <c r="Z41" s="28" t="n">
        <v>2700</v>
      </c>
      <c r="AA41" s="125" t="n">
        <v>2</v>
      </c>
      <c r="AB41" s="125"/>
      <c r="AC41" s="125"/>
      <c r="AD41" s="122" t="n">
        <v>300</v>
      </c>
      <c r="AE41" s="120" t="n">
        <f aca="false">Tabela54[[#This Row],[Kolumna23]]*Tabela54[[#This Row],[Kolumna63]]</f>
        <v>60</v>
      </c>
      <c r="AF41" s="120"/>
      <c r="AG41" s="122"/>
      <c r="AH41" s="122" t="n">
        <v>600</v>
      </c>
      <c r="AI41" s="119" t="n">
        <f aca="false">Tabela54[[#This Row],[Kolumna223]]*Tabela54[[#This Row],[Kolumna63]]</f>
        <v>120</v>
      </c>
      <c r="AJ41" s="119"/>
      <c r="AK41" s="122"/>
      <c r="AL41" s="122"/>
      <c r="AM41" s="119" t="n">
        <f aca="false">Tabela54[[#This Row],[Kolumna322]]*Tabela54[[#This Row],[Kolumna63]]</f>
        <v>0</v>
      </c>
      <c r="AN41" s="122"/>
      <c r="AO41" s="122" t="n">
        <f aca="false">Tabela54[[#This Row],[Kolumna5]]*Tabela54[[#This Row],[Kolumna63]]</f>
        <v>0</v>
      </c>
      <c r="AP41" s="53" t="n">
        <v>0.2</v>
      </c>
      <c r="AQ41" s="29" t="s">
        <v>243</v>
      </c>
      <c r="AR41" s="29" t="s">
        <v>244</v>
      </c>
      <c r="AS41" s="29" t="s">
        <v>243</v>
      </c>
      <c r="AT41" s="29"/>
    </row>
    <row r="42" customFormat="false" ht="33.75" hidden="false" customHeight="true" outlineLevel="0" collapsed="false">
      <c r="A42" s="40" t="n">
        <v>35</v>
      </c>
      <c r="B42" s="27" t="s">
        <v>241</v>
      </c>
      <c r="C42" s="49" t="s">
        <v>242</v>
      </c>
      <c r="D42" s="134"/>
      <c r="E42" s="135" t="n">
        <v>111</v>
      </c>
      <c r="F4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357.360216216216</v>
      </c>
      <c r="G42" s="135"/>
      <c r="H42" s="130" t="n">
        <v>2</v>
      </c>
      <c r="I42" s="26" t="n">
        <f aca="false">Tabela43[[#This Row],[Kolumna5]]*20700*0.27778</f>
        <v>11500.092</v>
      </c>
      <c r="J42" s="130"/>
      <c r="K42" s="130"/>
      <c r="L42" s="28" t="n">
        <f aca="false">Tabela43[[#This Row],[Kolumna8]]*0.000843882*40190*0.27778</f>
        <v>0</v>
      </c>
      <c r="M42" s="130"/>
      <c r="N42" s="130"/>
      <c r="O42" s="28" t="n">
        <f aca="false">Tabela43[[#This Row],[Kolumna82]]*35.94*0.27778</f>
        <v>0</v>
      </c>
      <c r="P42" s="130" t="n">
        <v>16</v>
      </c>
      <c r="Q42" s="130"/>
      <c r="R42" s="130" t="n">
        <v>10</v>
      </c>
      <c r="S42" s="116" t="n">
        <f aca="false">Tabela43[[#This Row],[Kolumna92]]*0.65</f>
        <v>6.5</v>
      </c>
      <c r="T42" s="28" t="n">
        <f aca="false">Tabela43[[#This Row],[Kolumna10]]*15600*0.27778</f>
        <v>28166.892</v>
      </c>
      <c r="U42" s="130"/>
      <c r="V42" s="130"/>
      <c r="W42" s="130"/>
      <c r="X42" s="130"/>
      <c r="Y42" s="130"/>
      <c r="Z42" s="28" t="n">
        <v>3183</v>
      </c>
      <c r="AA42" s="125" t="n">
        <v>1</v>
      </c>
      <c r="AB42" s="125"/>
      <c r="AC42" s="125"/>
      <c r="AD42" s="122" t="n">
        <v>700</v>
      </c>
      <c r="AE42" s="120" t="n">
        <f aca="false">Tabela54[[#This Row],[Kolumna23]]*Tabela54[[#This Row],[Kolumna63]]</f>
        <v>595</v>
      </c>
      <c r="AF42" s="120"/>
      <c r="AG42" s="122"/>
      <c r="AH42" s="122"/>
      <c r="AI42" s="119" t="n">
        <f aca="false">Tabela54[[#This Row],[Kolumna223]]*Tabela54[[#This Row],[Kolumna63]]</f>
        <v>0</v>
      </c>
      <c r="AJ42" s="119"/>
      <c r="AK42" s="122"/>
      <c r="AL42" s="122"/>
      <c r="AM42" s="119" t="n">
        <f aca="false">Tabela54[[#This Row],[Kolumna322]]*Tabela54[[#This Row],[Kolumna63]]</f>
        <v>0</v>
      </c>
      <c r="AN42" s="122"/>
      <c r="AO42" s="122" t="n">
        <f aca="false">Tabela54[[#This Row],[Kolumna5]]*Tabela54[[#This Row],[Kolumna63]]</f>
        <v>0</v>
      </c>
      <c r="AP42" s="53" t="n">
        <v>0.85</v>
      </c>
      <c r="AQ42" s="29" t="s">
        <v>243</v>
      </c>
      <c r="AR42" s="29" t="s">
        <v>244</v>
      </c>
      <c r="AS42" s="29" t="s">
        <v>243</v>
      </c>
      <c r="AT42" s="29"/>
      <c r="BF42" s="29"/>
      <c r="BG42" s="29"/>
    </row>
    <row r="43" customFormat="false" ht="27.75" hidden="false" customHeight="true" outlineLevel="0" collapsed="false">
      <c r="A43" s="25" t="n">
        <v>36</v>
      </c>
      <c r="B43" s="27" t="s">
        <v>241</v>
      </c>
      <c r="C43" s="49" t="s">
        <v>242</v>
      </c>
      <c r="D43" s="134"/>
      <c r="E43" s="135" t="n">
        <v>80</v>
      </c>
      <c r="F4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176.043075</v>
      </c>
      <c r="G43" s="135"/>
      <c r="H43" s="130"/>
      <c r="I43" s="26" t="n">
        <f aca="false">Tabela43[[#This Row],[Kolumna5]]*20700*0.27778</f>
        <v>0</v>
      </c>
      <c r="J43" s="130"/>
      <c r="K43" s="130"/>
      <c r="L43" s="28" t="n">
        <f aca="false">Tabela43[[#This Row],[Kolumna8]]*0.000843882*40190*0.27778</f>
        <v>0</v>
      </c>
      <c r="M43" s="130"/>
      <c r="N43" s="130"/>
      <c r="O43" s="28" t="n">
        <f aca="false">Tabela43[[#This Row],[Kolumna82]]*35.94*0.27778</f>
        <v>0</v>
      </c>
      <c r="P43" s="130"/>
      <c r="Q43" s="130"/>
      <c r="R43" s="130" t="n">
        <v>5</v>
      </c>
      <c r="S43" s="116" t="n">
        <f aca="false">Tabela43[[#This Row],[Kolumna92]]*0.65</f>
        <v>3.25</v>
      </c>
      <c r="T43" s="28" t="n">
        <f aca="false">Tabela43[[#This Row],[Kolumna10]]*15600*0.27778</f>
        <v>14083.446</v>
      </c>
      <c r="U43" s="130"/>
      <c r="V43" s="130"/>
      <c r="W43" s="130"/>
      <c r="X43" s="130"/>
      <c r="Y43" s="130"/>
      <c r="Z43" s="28" t="n">
        <v>1800</v>
      </c>
      <c r="AA43" s="125" t="n">
        <v>2</v>
      </c>
      <c r="AB43" s="125"/>
      <c r="AC43" s="125"/>
      <c r="AD43" s="122"/>
      <c r="AE43" s="120" t="n">
        <f aca="false">Tabela54[[#This Row],[Kolumna23]]*Tabela54[[#This Row],[Kolumna63]]</f>
        <v>0</v>
      </c>
      <c r="AF43" s="120"/>
      <c r="AG43" s="122"/>
      <c r="AH43" s="122"/>
      <c r="AI43" s="119" t="n">
        <f aca="false">Tabela54[[#This Row],[Kolumna223]]*Tabela54[[#This Row],[Kolumna63]]</f>
        <v>0</v>
      </c>
      <c r="AJ43" s="119"/>
      <c r="AK43" s="122"/>
      <c r="AL43" s="122" t="n">
        <v>800</v>
      </c>
      <c r="AM43" s="119" t="n">
        <f aca="false">Tabela54[[#This Row],[Kolumna322]]*Tabela54[[#This Row],[Kolumna63]]</f>
        <v>640</v>
      </c>
      <c r="AN43" s="122"/>
      <c r="AO43" s="122" t="n">
        <f aca="false">Tabela54[[#This Row],[Kolumna5]]*Tabela54[[#This Row],[Kolumna63]]</f>
        <v>0</v>
      </c>
      <c r="AP43" s="53" t="n">
        <v>0.8</v>
      </c>
      <c r="AQ43" s="29" t="s">
        <v>243</v>
      </c>
      <c r="AR43" s="29" t="s">
        <v>244</v>
      </c>
      <c r="AS43" s="29" t="s">
        <v>243</v>
      </c>
      <c r="AT43" s="29"/>
      <c r="BF43" s="47"/>
      <c r="BG43" s="139"/>
      <c r="BH43" s="140"/>
    </row>
    <row r="44" customFormat="false" ht="30" hidden="false" customHeight="true" outlineLevel="0" collapsed="false">
      <c r="A44" s="25" t="n">
        <v>37</v>
      </c>
      <c r="B44" s="27" t="s">
        <v>241</v>
      </c>
      <c r="C44" s="49" t="s">
        <v>247</v>
      </c>
      <c r="D44" s="134"/>
      <c r="E44" s="135" t="n">
        <v>150</v>
      </c>
      <c r="F4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529.159344352</v>
      </c>
      <c r="G44" s="135"/>
      <c r="H44" s="130" t="n">
        <v>4</v>
      </c>
      <c r="I44" s="26" t="n">
        <f aca="false">Tabela43[[#This Row],[Kolumna5]]*20700*0.27778</f>
        <v>23000.184</v>
      </c>
      <c r="J44" s="130"/>
      <c r="K44" s="130"/>
      <c r="L44" s="28" t="n">
        <f aca="false">Tabela43[[#This Row],[Kolumna8]]*0.000843882*40190*0.27778</f>
        <v>0</v>
      </c>
      <c r="M44" s="130"/>
      <c r="N44" s="130" t="n">
        <v>4</v>
      </c>
      <c r="O44" s="28" t="n">
        <f aca="false">Tabela43[[#This Row],[Kolumna82]]*35.94*0.27778</f>
        <v>39.9336528</v>
      </c>
      <c r="P44" s="130"/>
      <c r="Q44" s="130"/>
      <c r="R44" s="130" t="n">
        <v>20</v>
      </c>
      <c r="S44" s="116" t="n">
        <f aca="false">Tabela43[[#This Row],[Kolumna92]]*0.65</f>
        <v>13</v>
      </c>
      <c r="T44" s="28" t="n">
        <f aca="false">Tabela43[[#This Row],[Kolumna10]]*15600*0.27778</f>
        <v>56333.784</v>
      </c>
      <c r="U44" s="130"/>
      <c r="V44" s="130"/>
      <c r="W44" s="130"/>
      <c r="X44" s="130"/>
      <c r="Y44" s="130"/>
      <c r="Z44" s="28" t="n">
        <v>2100</v>
      </c>
      <c r="AA44" s="125" t="n">
        <v>4</v>
      </c>
      <c r="AB44" s="125"/>
      <c r="AC44" s="125"/>
      <c r="AD44" s="122" t="n">
        <v>300</v>
      </c>
      <c r="AE44" s="120" t="n">
        <f aca="false">Tabela54[[#This Row],[Kolumna23]]*Tabela54[[#This Row],[Kolumna63]]</f>
        <v>270</v>
      </c>
      <c r="AF44" s="120"/>
      <c r="AG44" s="133"/>
      <c r="AH44" s="133"/>
      <c r="AI44" s="119" t="n">
        <f aca="false">Tabela54[[#This Row],[Kolumna223]]*Tabela54[[#This Row],[Kolumna63]]</f>
        <v>0</v>
      </c>
      <c r="AJ44" s="119"/>
      <c r="AK44" s="122"/>
      <c r="AL44" s="122" t="n">
        <v>1800</v>
      </c>
      <c r="AM44" s="119" t="n">
        <f aca="false">Tabela54[[#This Row],[Kolumna322]]*Tabela54[[#This Row],[Kolumna63]]</f>
        <v>1620</v>
      </c>
      <c r="AN44" s="122"/>
      <c r="AO44" s="122" t="n">
        <f aca="false">Tabela54[[#This Row],[Kolumna5]]*Tabela54[[#This Row],[Kolumna63]]</f>
        <v>0</v>
      </c>
      <c r="AP44" s="53" t="n">
        <v>0.9</v>
      </c>
      <c r="AQ44" s="29" t="s">
        <v>243</v>
      </c>
      <c r="AR44" s="29" t="s">
        <v>244</v>
      </c>
      <c r="AS44" s="29" t="s">
        <v>243</v>
      </c>
      <c r="AT44" s="29"/>
      <c r="BG44" s="141" t="s">
        <v>244</v>
      </c>
    </row>
    <row r="45" customFormat="false" ht="26.25" hidden="false" customHeight="true" outlineLevel="0" collapsed="false">
      <c r="A45" s="40" t="n">
        <v>38</v>
      </c>
      <c r="B45" s="27" t="s">
        <v>241</v>
      </c>
      <c r="C45" s="49" t="s">
        <v>248</v>
      </c>
      <c r="D45" s="134"/>
      <c r="E45" s="135" t="n">
        <v>100</v>
      </c>
      <c r="F4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385.91961</v>
      </c>
      <c r="G45" s="135"/>
      <c r="H45" s="130" t="n">
        <v>1.5</v>
      </c>
      <c r="I45" s="26" t="n">
        <f aca="false">Tabela43[[#This Row],[Kolumna5]]*20700*0.27778</f>
        <v>8625.069</v>
      </c>
      <c r="J45" s="130"/>
      <c r="K45" s="130"/>
      <c r="L45" s="28" t="n">
        <f aca="false">Tabela43[[#This Row],[Kolumna8]]*0.000843882*40190*0.27778</f>
        <v>0</v>
      </c>
      <c r="M45" s="130"/>
      <c r="N45" s="130"/>
      <c r="O45" s="28" t="n">
        <f aca="false">Tabela43[[#This Row],[Kolumna82]]*35.94*0.27778</f>
        <v>0</v>
      </c>
      <c r="P45" s="130" t="n">
        <v>12</v>
      </c>
      <c r="Q45" s="130"/>
      <c r="R45" s="130" t="n">
        <v>10</v>
      </c>
      <c r="S45" s="116" t="n">
        <f aca="false">Tabela43[[#This Row],[Kolumna92]]*0.65</f>
        <v>6.5</v>
      </c>
      <c r="T45" s="28" t="n">
        <f aca="false">Tabela43[[#This Row],[Kolumna10]]*15600*0.27778</f>
        <v>28166.892</v>
      </c>
      <c r="U45" s="130"/>
      <c r="V45" s="130"/>
      <c r="W45" s="130"/>
      <c r="X45" s="130"/>
      <c r="Y45" s="130" t="n">
        <v>1800</v>
      </c>
      <c r="Z45" s="28" t="n">
        <f aca="false">Tabela43[[#This Row],[Kolumna123]]/0.55</f>
        <v>3272.72727272727</v>
      </c>
      <c r="AA45" s="125" t="n">
        <v>1</v>
      </c>
      <c r="AB45" s="125"/>
      <c r="AC45" s="125"/>
      <c r="AD45" s="122"/>
      <c r="AE45" s="120" t="n">
        <f aca="false">Tabela54[[#This Row],[Kolumna23]]*Tabela54[[#This Row],[Kolumna63]]</f>
        <v>0</v>
      </c>
      <c r="AF45" s="120"/>
      <c r="AG45" s="122"/>
      <c r="AH45" s="122"/>
      <c r="AI45" s="119" t="n">
        <f aca="false">Tabela54[[#This Row],[Kolumna223]]*Tabela54[[#This Row],[Kolumna63]]</f>
        <v>0</v>
      </c>
      <c r="AJ45" s="119"/>
      <c r="AK45" s="122"/>
      <c r="AL45" s="122" t="n">
        <v>500</v>
      </c>
      <c r="AM45" s="119" t="n">
        <f aca="false">Tabela54[[#This Row],[Kolumna322]]*Tabela54[[#This Row],[Kolumna63]]</f>
        <v>150</v>
      </c>
      <c r="AN45" s="122"/>
      <c r="AO45" s="122" t="n">
        <f aca="false">Tabela54[[#This Row],[Kolumna5]]*Tabela54[[#This Row],[Kolumna63]]</f>
        <v>0</v>
      </c>
      <c r="AP45" s="53" t="n">
        <v>0.3</v>
      </c>
      <c r="AQ45" s="29" t="s">
        <v>243</v>
      </c>
      <c r="AR45" s="29" t="s">
        <v>243</v>
      </c>
      <c r="AS45" s="29" t="s">
        <v>243</v>
      </c>
      <c r="AT45" s="29"/>
      <c r="BG45" s="142" t="s">
        <v>243</v>
      </c>
    </row>
    <row r="46" customFormat="false" ht="30" hidden="false" customHeight="true" outlineLevel="0" collapsed="false">
      <c r="A46" s="25" t="n">
        <v>39</v>
      </c>
      <c r="B46" s="27" t="s">
        <v>241</v>
      </c>
      <c r="C46" s="49" t="s">
        <v>249</v>
      </c>
      <c r="D46" s="134"/>
      <c r="E46" s="135" t="n">
        <v>100</v>
      </c>
      <c r="F4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113.834244</v>
      </c>
      <c r="G46" s="135"/>
      <c r="H46" s="130" t="n">
        <v>1</v>
      </c>
      <c r="I46" s="26" t="n">
        <f aca="false">Tabela43[[#This Row],[Kolumna5]]*20700*0.27778</f>
        <v>5750.046</v>
      </c>
      <c r="J46" s="130"/>
      <c r="K46" s="130"/>
      <c r="L46" s="28" t="n">
        <f aca="false">Tabela43[[#This Row],[Kolumna8]]*0.000843882*40190*0.27778</f>
        <v>0</v>
      </c>
      <c r="M46" s="130"/>
      <c r="N46" s="130"/>
      <c r="O46" s="28" t="n">
        <f aca="false">Tabela43[[#This Row],[Kolumna82]]*35.94*0.27778</f>
        <v>0</v>
      </c>
      <c r="P46" s="130"/>
      <c r="Q46" s="130"/>
      <c r="R46" s="130" t="n">
        <v>2</v>
      </c>
      <c r="S46" s="116" t="n">
        <f aca="false">Tabela43[[#This Row],[Kolumna92]]*0.65</f>
        <v>1.3</v>
      </c>
      <c r="T46" s="28" t="n">
        <f aca="false">Tabela43[[#This Row],[Kolumna10]]*15600*0.27778</f>
        <v>5633.3784</v>
      </c>
      <c r="U46" s="130"/>
      <c r="V46" s="130"/>
      <c r="W46" s="130"/>
      <c r="X46" s="130"/>
      <c r="Y46" s="130"/>
      <c r="Z46" s="28" t="n">
        <v>3000</v>
      </c>
      <c r="AA46" s="125" t="n">
        <v>2</v>
      </c>
      <c r="AB46" s="125"/>
      <c r="AC46" s="125"/>
      <c r="AD46" s="122" t="n">
        <v>600</v>
      </c>
      <c r="AE46" s="120" t="n">
        <f aca="false">Tabela54[[#This Row],[Kolumna23]]*Tabela54[[#This Row],[Kolumna63]]</f>
        <v>600</v>
      </c>
      <c r="AF46" s="120"/>
      <c r="AG46" s="122"/>
      <c r="AH46" s="122"/>
      <c r="AI46" s="119" t="n">
        <f aca="false">Tabela54[[#This Row],[Kolumna223]]*Tabela54[[#This Row],[Kolumna63]]</f>
        <v>0</v>
      </c>
      <c r="AJ46" s="119"/>
      <c r="AK46" s="122"/>
      <c r="AL46" s="122"/>
      <c r="AM46" s="119" t="n">
        <f aca="false">Tabela54[[#This Row],[Kolumna322]]*Tabela54[[#This Row],[Kolumna63]]</f>
        <v>0</v>
      </c>
      <c r="AN46" s="122"/>
      <c r="AO46" s="122" t="n">
        <f aca="false">Tabela54[[#This Row],[Kolumna5]]*Tabela54[[#This Row],[Kolumna63]]</f>
        <v>0</v>
      </c>
      <c r="AP46" s="53" t="n">
        <v>1</v>
      </c>
      <c r="AQ46" s="29" t="s">
        <v>243</v>
      </c>
      <c r="AR46" s="29" t="s">
        <v>244</v>
      </c>
      <c r="AS46" s="29" t="s">
        <v>243</v>
      </c>
      <c r="AT46" s="29"/>
      <c r="BG46" s="142" t="s">
        <v>250</v>
      </c>
    </row>
    <row r="47" customFormat="false" ht="30" hidden="false" customHeight="true" outlineLevel="0" collapsed="false">
      <c r="A47" s="25" t="n">
        <v>40</v>
      </c>
      <c r="B47" s="27" t="s">
        <v>251</v>
      </c>
      <c r="C47" s="49" t="s">
        <v>246</v>
      </c>
      <c r="D47" s="134"/>
      <c r="E47" s="135" t="n">
        <v>180</v>
      </c>
      <c r="F4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296.66892</v>
      </c>
      <c r="G47" s="135"/>
      <c r="H47" s="130"/>
      <c r="I47" s="26" t="n">
        <f aca="false">Tabela43[[#This Row],[Kolumna5]]*20700*0.27778</f>
        <v>0</v>
      </c>
      <c r="J47" s="130"/>
      <c r="K47" s="130"/>
      <c r="L47" s="28" t="n">
        <f aca="false">Tabela43[[#This Row],[Kolumna8]]*0.000843882*40190*0.27778</f>
        <v>0</v>
      </c>
      <c r="M47" s="130"/>
      <c r="N47" s="130"/>
      <c r="O47" s="28" t="n">
        <f aca="false">Tabela43[[#This Row],[Kolumna82]]*35.94*0.27778</f>
        <v>0</v>
      </c>
      <c r="P47" s="130"/>
      <c r="Q47" s="130"/>
      <c r="R47" s="130" t="n">
        <v>18</v>
      </c>
      <c r="S47" s="116" t="n">
        <f aca="false">Tabela43[[#This Row],[Kolumna92]]*0.65</f>
        <v>11.7</v>
      </c>
      <c r="T47" s="28" t="n">
        <f aca="false">Tabela43[[#This Row],[Kolumna10]]*15600*0.27778</f>
        <v>50700.4056</v>
      </c>
      <c r="U47" s="143" t="n">
        <v>2700</v>
      </c>
      <c r="V47" s="130"/>
      <c r="W47" s="130"/>
      <c r="X47" s="130"/>
      <c r="Y47" s="130"/>
      <c r="Z47" s="28" t="n">
        <v>11809</v>
      </c>
      <c r="AA47" s="125" t="n">
        <v>1</v>
      </c>
      <c r="AB47" s="125"/>
      <c r="AC47" s="125"/>
      <c r="AD47" s="122" t="n">
        <v>240</v>
      </c>
      <c r="AE47" s="120" t="n">
        <f aca="false">Tabela54[[#This Row],[Kolumna23]]*Tabela54[[#This Row],[Kolumna63]]</f>
        <v>192</v>
      </c>
      <c r="AF47" s="120"/>
      <c r="AG47" s="133"/>
      <c r="AH47" s="133" t="n">
        <v>7000</v>
      </c>
      <c r="AI47" s="119" t="n">
        <f aca="false">Tabela54[[#This Row],[Kolumna223]]*Tabela54[[#This Row],[Kolumna63]]</f>
        <v>5600</v>
      </c>
      <c r="AJ47" s="119"/>
      <c r="AK47" s="122"/>
      <c r="AL47" s="122"/>
      <c r="AM47" s="119" t="n">
        <f aca="false">Tabela54[[#This Row],[Kolumna322]]*Tabela54[[#This Row],[Kolumna63]]</f>
        <v>0</v>
      </c>
      <c r="AN47" s="122"/>
      <c r="AO47" s="122" t="n">
        <f aca="false">Tabela54[[#This Row],[Kolumna5]]*Tabela54[[#This Row],[Kolumna63]]</f>
        <v>0</v>
      </c>
      <c r="AP47" s="53" t="n">
        <v>0.8</v>
      </c>
      <c r="AQ47" s="29" t="s">
        <v>243</v>
      </c>
      <c r="AR47" s="29" t="s">
        <v>243</v>
      </c>
      <c r="AS47" s="29" t="s">
        <v>244</v>
      </c>
      <c r="AT47" s="44" t="s">
        <v>252</v>
      </c>
      <c r="BG47" s="142" t="s">
        <v>253</v>
      </c>
    </row>
    <row r="48" customFormat="false" ht="30" hidden="false" customHeight="true" outlineLevel="0" collapsed="false">
      <c r="A48" s="40" t="n">
        <v>41</v>
      </c>
      <c r="B48" s="27" t="s">
        <v>241</v>
      </c>
      <c r="C48" s="49" t="s">
        <v>248</v>
      </c>
      <c r="D48" s="134"/>
      <c r="E48" s="135" t="n">
        <v>160</v>
      </c>
      <c r="F4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143.0219775</v>
      </c>
      <c r="G48" s="135"/>
      <c r="H48" s="130" t="n">
        <v>3</v>
      </c>
      <c r="I48" s="26" t="n">
        <f aca="false">Tabela43[[#This Row],[Kolumna5]]*20700*0.27778</f>
        <v>17250.138</v>
      </c>
      <c r="J48" s="130"/>
      <c r="K48" s="130"/>
      <c r="L48" s="28" t="n">
        <f aca="false">Tabela43[[#This Row],[Kolumna8]]*0.000843882*40190*0.27778</f>
        <v>0</v>
      </c>
      <c r="M48" s="130"/>
      <c r="N48" s="130"/>
      <c r="O48" s="28" t="n">
        <f aca="false">Tabela43[[#This Row],[Kolumna82]]*35.94*0.27778</f>
        <v>0</v>
      </c>
      <c r="P48" s="130"/>
      <c r="Q48" s="130"/>
      <c r="R48" s="130" t="n">
        <v>2</v>
      </c>
      <c r="S48" s="116" t="n">
        <f aca="false">Tabela43[[#This Row],[Kolumna92]]*0.65</f>
        <v>1.3</v>
      </c>
      <c r="T48" s="28" t="n">
        <f aca="false">Tabela43[[#This Row],[Kolumna10]]*15600*0.27778</f>
        <v>5633.3784</v>
      </c>
      <c r="U48" s="130"/>
      <c r="V48" s="130"/>
      <c r="W48" s="130"/>
      <c r="X48" s="130"/>
      <c r="Y48" s="130"/>
      <c r="Z48" s="28" t="n">
        <v>2400</v>
      </c>
      <c r="AA48" s="125" t="n">
        <v>3</v>
      </c>
      <c r="AB48" s="125"/>
      <c r="AC48" s="125"/>
      <c r="AD48" s="122"/>
      <c r="AE48" s="120" t="n">
        <f aca="false">Tabela54[[#This Row],[Kolumna23]]*Tabela54[[#This Row],[Kolumna63]]</f>
        <v>0</v>
      </c>
      <c r="AF48" s="120"/>
      <c r="AG48" s="122"/>
      <c r="AH48" s="122" t="n">
        <v>1500</v>
      </c>
      <c r="AI48" s="119" t="n">
        <f aca="false">Tabela54[[#This Row],[Kolumna223]]*Tabela54[[#This Row],[Kolumna63]]</f>
        <v>750</v>
      </c>
      <c r="AJ48" s="119"/>
      <c r="AK48" s="119"/>
      <c r="AL48" s="119" t="n">
        <v>1400</v>
      </c>
      <c r="AM48" s="119" t="n">
        <f aca="false">Tabela54[[#This Row],[Kolumna322]]*Tabela54[[#This Row],[Kolumna63]]</f>
        <v>700</v>
      </c>
      <c r="AN48" s="122"/>
      <c r="AO48" s="122" t="n">
        <f aca="false">Tabela54[[#This Row],[Kolumna5]]*Tabela54[[#This Row],[Kolumna63]]</f>
        <v>0</v>
      </c>
      <c r="AP48" s="53" t="n">
        <v>0.5</v>
      </c>
      <c r="AQ48" s="29" t="s">
        <v>243</v>
      </c>
      <c r="AR48" s="29" t="s">
        <v>243</v>
      </c>
      <c r="AS48" s="29" t="s">
        <v>243</v>
      </c>
      <c r="AT48" s="29"/>
      <c r="BG48" s="142" t="s">
        <v>254</v>
      </c>
    </row>
    <row r="49" customFormat="false" ht="30" hidden="false" customHeight="true" outlineLevel="0" collapsed="false">
      <c r="A49" s="25" t="n">
        <v>42</v>
      </c>
      <c r="B49" s="27" t="s">
        <v>241</v>
      </c>
      <c r="C49" s="49" t="s">
        <v>242</v>
      </c>
      <c r="D49" s="134"/>
      <c r="E49" s="135" t="n">
        <v>120</v>
      </c>
      <c r="F4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249.6992198</v>
      </c>
      <c r="G49" s="135"/>
      <c r="H49" s="130"/>
      <c r="I49" s="26" t="n">
        <f aca="false">Tabela43[[#This Row],[Kolumna5]]*20700*0.27778</f>
        <v>0</v>
      </c>
      <c r="J49" s="130"/>
      <c r="K49" s="130"/>
      <c r="L49" s="28" t="n">
        <f aca="false">Tabela43[[#This Row],[Kolumna8]]*0.000843882*40190*0.27778</f>
        <v>0</v>
      </c>
      <c r="M49" s="130"/>
      <c r="N49" s="130" t="n">
        <v>180</v>
      </c>
      <c r="O49" s="28" t="n">
        <f aca="false">Tabela43[[#This Row],[Kolumna82]]*35.94*0.27778</f>
        <v>1797.014376</v>
      </c>
      <c r="P49" s="130"/>
      <c r="Q49" s="130"/>
      <c r="R49" s="130" t="n">
        <v>10</v>
      </c>
      <c r="S49" s="116" t="n">
        <f aca="false">Tabela43[[#This Row],[Kolumna92]]*0.65</f>
        <v>6.5</v>
      </c>
      <c r="T49" s="28" t="n">
        <f aca="false">Tabela43[[#This Row],[Kolumna10]]*15600*0.27778</f>
        <v>28166.892</v>
      </c>
      <c r="U49" s="143"/>
      <c r="V49" s="130"/>
      <c r="W49" s="130"/>
      <c r="X49" s="130"/>
      <c r="Y49" s="130"/>
      <c r="Z49" s="28" t="n">
        <v>1200</v>
      </c>
      <c r="AA49" s="125" t="n">
        <v>2</v>
      </c>
      <c r="AB49" s="125"/>
      <c r="AC49" s="125"/>
      <c r="AD49" s="122" t="n">
        <v>50</v>
      </c>
      <c r="AE49" s="120" t="n">
        <f aca="false">Tabela54[[#This Row],[Kolumna23]]*Tabela54[[#This Row],[Kolumna63]]</f>
        <v>5</v>
      </c>
      <c r="AF49" s="120"/>
      <c r="AG49" s="122"/>
      <c r="AH49" s="122" t="n">
        <v>800</v>
      </c>
      <c r="AI49" s="119" t="n">
        <f aca="false">Tabela54[[#This Row],[Kolumna223]]*Tabela54[[#This Row],[Kolumna63]]</f>
        <v>80</v>
      </c>
      <c r="AJ49" s="119"/>
      <c r="AK49" s="119"/>
      <c r="AL49" s="119" t="n">
        <v>600</v>
      </c>
      <c r="AM49" s="119" t="n">
        <f aca="false">Tabela54[[#This Row],[Kolumna322]]*Tabela54[[#This Row],[Kolumna63]]</f>
        <v>60</v>
      </c>
      <c r="AN49" s="122"/>
      <c r="AO49" s="122" t="n">
        <f aca="false">Tabela54[[#This Row],[Kolumna5]]*Tabela54[[#This Row],[Kolumna63]]</f>
        <v>0</v>
      </c>
      <c r="AP49" s="53" t="n">
        <v>0.1</v>
      </c>
      <c r="AQ49" s="29" t="s">
        <v>243</v>
      </c>
      <c r="AR49" s="29" t="s">
        <v>243</v>
      </c>
      <c r="AS49" s="29" t="s">
        <v>243</v>
      </c>
      <c r="AT49" s="29"/>
      <c r="BG49" s="142" t="s">
        <v>241</v>
      </c>
    </row>
    <row r="50" customFormat="false" ht="30.75" hidden="false" customHeight="true" outlineLevel="0" collapsed="false">
      <c r="A50" s="25" t="n">
        <v>43</v>
      </c>
      <c r="B50" s="27" t="s">
        <v>241</v>
      </c>
      <c r="C50" s="49" t="s">
        <v>242</v>
      </c>
      <c r="D50" s="134"/>
      <c r="E50" s="135" t="n">
        <v>90</v>
      </c>
      <c r="F5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629.1216996</v>
      </c>
      <c r="G50" s="135"/>
      <c r="H50" s="130" t="n">
        <v>3.5</v>
      </c>
      <c r="I50" s="26" t="n">
        <f aca="false">Tabela43[[#This Row],[Kolumna5]]*20700*0.27778</f>
        <v>20125.161</v>
      </c>
      <c r="J50" s="130"/>
      <c r="K50" s="130"/>
      <c r="L50" s="28" t="n">
        <f aca="false">Tabela43[[#This Row],[Kolumna8]]*0.000843882*40190*0.27778</f>
        <v>0</v>
      </c>
      <c r="M50" s="130"/>
      <c r="N50" s="130" t="n">
        <v>270</v>
      </c>
      <c r="O50" s="28" t="n">
        <f aca="false">Tabela43[[#This Row],[Kolumna82]]*35.94*0.27778</f>
        <v>2695.521564</v>
      </c>
      <c r="P50" s="130"/>
      <c r="Q50" s="130"/>
      <c r="R50" s="130" t="n">
        <v>12</v>
      </c>
      <c r="S50" s="116" t="n">
        <f aca="false">Tabela43[[#This Row],[Kolumna92]]*0.65</f>
        <v>7.8</v>
      </c>
      <c r="T50" s="28" t="n">
        <f aca="false">Tabela43[[#This Row],[Kolumna10]]*15600*0.27778</f>
        <v>33800.2704</v>
      </c>
      <c r="U50" s="130"/>
      <c r="V50" s="130"/>
      <c r="W50" s="130"/>
      <c r="X50" s="130"/>
      <c r="Y50" s="130"/>
      <c r="Z50" s="28" t="n">
        <v>1935</v>
      </c>
      <c r="AA50" s="125" t="n">
        <v>2</v>
      </c>
      <c r="AB50" s="125"/>
      <c r="AC50" s="125"/>
      <c r="AD50" s="122" t="n">
        <v>500</v>
      </c>
      <c r="AE50" s="120" t="n">
        <f aca="false">Tabela54[[#This Row],[Kolumna23]]*Tabela54[[#This Row],[Kolumna63]]</f>
        <v>150</v>
      </c>
      <c r="AF50" s="120"/>
      <c r="AG50" s="122"/>
      <c r="AH50" s="122" t="n">
        <v>1500</v>
      </c>
      <c r="AI50" s="119" t="n">
        <f aca="false">Tabela54[[#This Row],[Kolumna223]]*Tabela54[[#This Row],[Kolumna63]]</f>
        <v>450</v>
      </c>
      <c r="AJ50" s="119"/>
      <c r="AK50" s="119"/>
      <c r="AL50" s="119"/>
      <c r="AM50" s="119" t="n">
        <f aca="false">Tabela54[[#This Row],[Kolumna322]]*Tabela54[[#This Row],[Kolumna63]]</f>
        <v>0</v>
      </c>
      <c r="AN50" s="122"/>
      <c r="AO50" s="122" t="n">
        <f aca="false">Tabela54[[#This Row],[Kolumna5]]*Tabela54[[#This Row],[Kolumna63]]</f>
        <v>0</v>
      </c>
      <c r="AP50" s="53" t="n">
        <v>0.3</v>
      </c>
      <c r="AQ50" s="29" t="s">
        <v>243</v>
      </c>
      <c r="AR50" s="29" t="s">
        <v>244</v>
      </c>
      <c r="AS50" s="29" t="s">
        <v>243</v>
      </c>
      <c r="AT50" s="29"/>
      <c r="BG50" s="144" t="s">
        <v>255</v>
      </c>
    </row>
    <row r="51" customFormat="false" ht="30" hidden="false" customHeight="true" outlineLevel="0" collapsed="false">
      <c r="A51" s="40" t="n">
        <v>44</v>
      </c>
      <c r="B51" s="27" t="s">
        <v>241</v>
      </c>
      <c r="C51" s="49" t="s">
        <v>242</v>
      </c>
      <c r="D51" s="134"/>
      <c r="E51" s="135" t="n">
        <v>300</v>
      </c>
      <c r="F5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66.50046</v>
      </c>
      <c r="G51" s="135"/>
      <c r="H51" s="130" t="n">
        <v>3</v>
      </c>
      <c r="I51" s="26" t="n">
        <f aca="false">Tabela43[[#This Row],[Kolumna5]]*20700*0.27778</f>
        <v>17250.138</v>
      </c>
      <c r="J51" s="130"/>
      <c r="K51" s="130"/>
      <c r="L51" s="28" t="n">
        <f aca="false">Tabela43[[#This Row],[Kolumna8]]*0.000843882*40190*0.27778</f>
        <v>0</v>
      </c>
      <c r="M51" s="130"/>
      <c r="N51" s="130"/>
      <c r="O51" s="28" t="n">
        <f aca="false">Tabela43[[#This Row],[Kolumna82]]*35.94*0.27778</f>
        <v>0</v>
      </c>
      <c r="P51" s="130"/>
      <c r="Q51" s="130"/>
      <c r="R51" s="130"/>
      <c r="S51" s="116" t="n">
        <f aca="false">Tabela43[[#This Row],[Kolumna92]]*0.65</f>
        <v>0</v>
      </c>
      <c r="T51" s="28" t="n">
        <f aca="false">Tabela43[[#This Row],[Kolumna10]]*15600*0.27778</f>
        <v>0</v>
      </c>
      <c r="U51" s="143" t="n">
        <v>2700</v>
      </c>
      <c r="V51" s="130"/>
      <c r="W51" s="130"/>
      <c r="X51" s="130"/>
      <c r="Y51" s="130"/>
      <c r="Z51" s="28" t="n">
        <v>2400</v>
      </c>
      <c r="AA51" s="125" t="n">
        <v>3</v>
      </c>
      <c r="AB51" s="125"/>
      <c r="AC51" s="125"/>
      <c r="AD51" s="122" t="n">
        <v>480</v>
      </c>
      <c r="AE51" s="120" t="n">
        <f aca="false">Tabela54[[#This Row],[Kolumna23]]*Tabela54[[#This Row],[Kolumna63]]</f>
        <v>240</v>
      </c>
      <c r="AF51" s="120"/>
      <c r="AG51" s="122"/>
      <c r="AH51" s="122"/>
      <c r="AI51" s="119" t="n">
        <f aca="false">Tabela54[[#This Row],[Kolumna223]]*Tabela54[[#This Row],[Kolumna63]]</f>
        <v>0</v>
      </c>
      <c r="AJ51" s="119"/>
      <c r="AK51" s="119"/>
      <c r="AL51" s="119" t="n">
        <v>780</v>
      </c>
      <c r="AM51" s="119" t="n">
        <f aca="false">Tabela54[[#This Row],[Kolumna322]]*Tabela54[[#This Row],[Kolumna63]]</f>
        <v>390</v>
      </c>
      <c r="AN51" s="122"/>
      <c r="AO51" s="122" t="n">
        <f aca="false">Tabela54[[#This Row],[Kolumna5]]*Tabela54[[#This Row],[Kolumna63]]</f>
        <v>0</v>
      </c>
      <c r="AP51" s="53" t="n">
        <v>0.5</v>
      </c>
      <c r="AQ51" s="29" t="s">
        <v>243</v>
      </c>
      <c r="AR51" s="29" t="s">
        <v>243</v>
      </c>
      <c r="AS51" s="29" t="s">
        <v>243</v>
      </c>
      <c r="AT51" s="29"/>
      <c r="BE51" s="140"/>
      <c r="BF51" s="140"/>
      <c r="BG51" s="139"/>
      <c r="BH51" s="47"/>
    </row>
    <row r="52" customFormat="false" ht="30" hidden="false" customHeight="true" outlineLevel="0" collapsed="false">
      <c r="A52" s="25" t="n">
        <v>45</v>
      </c>
      <c r="B52" s="27" t="s">
        <v>241</v>
      </c>
      <c r="C52" s="49" t="s">
        <v>242</v>
      </c>
      <c r="D52" s="134"/>
      <c r="E52" s="135" t="n">
        <v>200</v>
      </c>
      <c r="F5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144.0594858</v>
      </c>
      <c r="G52" s="135"/>
      <c r="H52" s="130" t="n">
        <v>4</v>
      </c>
      <c r="I52" s="26" t="n">
        <f aca="false">Tabela43[[#This Row],[Kolumna5]]*20700*0.27778</f>
        <v>23000.184</v>
      </c>
      <c r="J52" s="130"/>
      <c r="K52" s="130"/>
      <c r="L52" s="28" t="n">
        <f aca="false">Tabela43[[#This Row],[Kolumna8]]*0.000843882*40190*0.27778</f>
        <v>0</v>
      </c>
      <c r="M52" s="130"/>
      <c r="N52" s="130" t="n">
        <v>300</v>
      </c>
      <c r="O52" s="28" t="n">
        <f aca="false">Tabela43[[#This Row],[Kolumna82]]*35.94*0.27778</f>
        <v>2995.02396</v>
      </c>
      <c r="P52" s="130"/>
      <c r="Q52" s="130"/>
      <c r="R52" s="130" t="n">
        <v>1</v>
      </c>
      <c r="S52" s="116" t="n">
        <f aca="false">Tabela43[[#This Row],[Kolumna92]]*0.65</f>
        <v>0.65</v>
      </c>
      <c r="T52" s="28" t="n">
        <f aca="false">Tabela43[[#This Row],[Kolumna10]]*15600*0.27778</f>
        <v>2816.6892</v>
      </c>
      <c r="U52" s="145"/>
      <c r="V52" s="130"/>
      <c r="W52" s="130"/>
      <c r="X52" s="130"/>
      <c r="Y52" s="130"/>
      <c r="Z52" s="28" t="n">
        <v>4000</v>
      </c>
      <c r="AA52" s="125" t="n">
        <v>2</v>
      </c>
      <c r="AB52" s="125"/>
      <c r="AC52" s="125"/>
      <c r="AD52" s="122" t="n">
        <v>2000</v>
      </c>
      <c r="AE52" s="120" t="n">
        <f aca="false">Tabela54[[#This Row],[Kolumna23]]*Tabela54[[#This Row],[Kolumna63]]</f>
        <v>800</v>
      </c>
      <c r="AF52" s="120"/>
      <c r="AG52" s="133"/>
      <c r="AH52" s="133" t="n">
        <v>1500</v>
      </c>
      <c r="AI52" s="119" t="n">
        <f aca="false">Tabela54[[#This Row],[Kolumna223]]*Tabela54[[#This Row],[Kolumna63]]</f>
        <v>600</v>
      </c>
      <c r="AJ52" s="119"/>
      <c r="AK52" s="119"/>
      <c r="AL52" s="119"/>
      <c r="AM52" s="119" t="n">
        <f aca="false">Tabela54[[#This Row],[Kolumna322]]*Tabela54[[#This Row],[Kolumna63]]</f>
        <v>0</v>
      </c>
      <c r="AN52" s="122"/>
      <c r="AO52" s="122" t="n">
        <f aca="false">Tabela54[[#This Row],[Kolumna5]]*Tabela54[[#This Row],[Kolumna63]]</f>
        <v>0</v>
      </c>
      <c r="AP52" s="53" t="n">
        <v>0.4</v>
      </c>
      <c r="AQ52" s="29" t="s">
        <v>243</v>
      </c>
      <c r="AR52" s="29" t="s">
        <v>244</v>
      </c>
      <c r="AS52" s="29" t="s">
        <v>244</v>
      </c>
      <c r="AT52" s="29"/>
      <c r="BE52" s="140"/>
      <c r="BF52" s="140"/>
      <c r="BG52" s="47"/>
      <c r="BH52" s="47"/>
    </row>
    <row r="53" customFormat="false" ht="30" hidden="false" customHeight="true" outlineLevel="0" collapsed="false">
      <c r="A53" s="25" t="n">
        <v>46</v>
      </c>
      <c r="B53" s="27" t="s">
        <v>241</v>
      </c>
      <c r="C53" s="49" t="s">
        <v>248</v>
      </c>
      <c r="D53" s="134"/>
      <c r="E53" s="135" t="n">
        <v>300</v>
      </c>
      <c r="F5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70.4449013333333</v>
      </c>
      <c r="G53" s="135"/>
      <c r="H53" s="130" t="n">
        <v>2</v>
      </c>
      <c r="I53" s="26" t="n">
        <f aca="false">Tabela43[[#This Row],[Kolumna5]]*20700*0.27778</f>
        <v>11500.092</v>
      </c>
      <c r="J53" s="130"/>
      <c r="K53" s="130"/>
      <c r="L53" s="28" t="n">
        <f aca="false">Tabela43[[#This Row],[Kolumna8]]*0.000843882*40190*0.27778</f>
        <v>0</v>
      </c>
      <c r="M53" s="130"/>
      <c r="N53" s="130"/>
      <c r="O53" s="28" t="n">
        <f aca="false">Tabela43[[#This Row],[Kolumna82]]*35.94*0.27778</f>
        <v>0</v>
      </c>
      <c r="P53" s="130"/>
      <c r="Q53" s="130"/>
      <c r="R53" s="130" t="n">
        <v>2</v>
      </c>
      <c r="S53" s="116" t="n">
        <f aca="false">Tabela43[[#This Row],[Kolumna92]]*0.65</f>
        <v>1.3</v>
      </c>
      <c r="T53" s="28" t="n">
        <f aca="false">Tabela43[[#This Row],[Kolumna10]]*15600*0.27778</f>
        <v>5633.3784</v>
      </c>
      <c r="U53" s="130"/>
      <c r="V53" s="130"/>
      <c r="W53" s="130"/>
      <c r="X53" s="130"/>
      <c r="Y53" s="130" t="n">
        <v>4000</v>
      </c>
      <c r="Z53" s="28" t="n">
        <f aca="false">Tabela43[[#This Row],[Kolumna123]]/0.55</f>
        <v>7272.72727272727</v>
      </c>
      <c r="AA53" s="125" t="n">
        <v>4</v>
      </c>
      <c r="AB53" s="125"/>
      <c r="AC53" s="125"/>
      <c r="AD53" s="122" t="n">
        <v>1280</v>
      </c>
      <c r="AE53" s="120" t="n">
        <f aca="false">Tabela54[[#This Row],[Kolumna23]]*Tabela54[[#This Row],[Kolumna63]]</f>
        <v>640</v>
      </c>
      <c r="AF53" s="120"/>
      <c r="AG53" s="122"/>
      <c r="AH53" s="122" t="n">
        <v>640</v>
      </c>
      <c r="AI53" s="119" t="n">
        <f aca="false">Tabela54[[#This Row],[Kolumna223]]*Tabela54[[#This Row],[Kolumna63]]</f>
        <v>320</v>
      </c>
      <c r="AJ53" s="119"/>
      <c r="AK53" s="119"/>
      <c r="AL53" s="119" t="n">
        <v>640</v>
      </c>
      <c r="AM53" s="119" t="n">
        <f aca="false">Tabela54[[#This Row],[Kolumna322]]*Tabela54[[#This Row],[Kolumna63]]</f>
        <v>320</v>
      </c>
      <c r="AN53" s="122"/>
      <c r="AO53" s="122" t="n">
        <f aca="false">Tabela54[[#This Row],[Kolumna5]]*Tabela54[[#This Row],[Kolumna63]]</f>
        <v>0</v>
      </c>
      <c r="AP53" s="53" t="n">
        <v>0.5</v>
      </c>
      <c r="AQ53" s="29" t="s">
        <v>243</v>
      </c>
      <c r="AR53" s="29" t="s">
        <v>243</v>
      </c>
      <c r="AS53" s="29" t="s">
        <v>243</v>
      </c>
      <c r="AT53" s="29"/>
    </row>
    <row r="54" customFormat="false" ht="30" hidden="false" customHeight="true" outlineLevel="0" collapsed="false">
      <c r="A54" s="40" t="n">
        <v>47</v>
      </c>
      <c r="B54" s="27" t="s">
        <v>241</v>
      </c>
      <c r="C54" s="49" t="s">
        <v>256</v>
      </c>
      <c r="D54" s="134"/>
      <c r="E54" s="135" t="n">
        <v>230</v>
      </c>
      <c r="F5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454.774969765218</v>
      </c>
      <c r="G54" s="135"/>
      <c r="H54" s="130" t="n">
        <v>3</v>
      </c>
      <c r="I54" s="26" t="n">
        <f aca="false">Tabela43[[#This Row],[Kolumna5]]*20700*0.27778</f>
        <v>17250.138</v>
      </c>
      <c r="J54" s="130"/>
      <c r="K54" s="130"/>
      <c r="L54" s="28" t="n">
        <f aca="false">Tabela43[[#This Row],[Kolumna8]]*0.000843882*40190*0.27778</f>
        <v>0</v>
      </c>
      <c r="M54" s="130"/>
      <c r="N54" s="130" t="n">
        <v>155</v>
      </c>
      <c r="O54" s="28" t="n">
        <f aca="false">Tabela43[[#This Row],[Kolumna82]]*35.94*0.27778</f>
        <v>1547.429046</v>
      </c>
      <c r="P54" s="130"/>
      <c r="Q54" s="130"/>
      <c r="R54" s="130" t="n">
        <v>30</v>
      </c>
      <c r="S54" s="116" t="n">
        <f aca="false">Tabela43[[#This Row],[Kolumna92]]*0.65</f>
        <v>19.5</v>
      </c>
      <c r="T54" s="28" t="n">
        <f aca="false">Tabela43[[#This Row],[Kolumna10]]*15600*0.27778</f>
        <v>84500.676</v>
      </c>
      <c r="U54" s="143"/>
      <c r="V54" s="130"/>
      <c r="W54" s="130"/>
      <c r="X54" s="130"/>
      <c r="Y54" s="130" t="n">
        <v>1300</v>
      </c>
      <c r="Z54" s="28" t="n">
        <f aca="false">Tabela43[[#This Row],[Kolumna123]]/0.55</f>
        <v>2363.63636363636</v>
      </c>
      <c r="AA54" s="125" t="n">
        <v>4</v>
      </c>
      <c r="AB54" s="125"/>
      <c r="AC54" s="125"/>
      <c r="AD54" s="122"/>
      <c r="AE54" s="120" t="n">
        <f aca="false">Tabela54[[#This Row],[Kolumna23]]*Tabela54[[#This Row],[Kolumna63]]</f>
        <v>0</v>
      </c>
      <c r="AF54" s="120"/>
      <c r="AG54" s="122"/>
      <c r="AH54" s="122"/>
      <c r="AI54" s="119" t="n">
        <f aca="false">Tabela54[[#This Row],[Kolumna223]]*Tabela54[[#This Row],[Kolumna63]]</f>
        <v>0</v>
      </c>
      <c r="AJ54" s="119"/>
      <c r="AK54" s="119"/>
      <c r="AL54" s="119" t="n">
        <v>890</v>
      </c>
      <c r="AM54" s="119" t="n">
        <f aca="false">Tabela54[[#This Row],[Kolumna322]]*Tabela54[[#This Row],[Kolumna63]]</f>
        <v>890</v>
      </c>
      <c r="AN54" s="122"/>
      <c r="AO54" s="122" t="n">
        <f aca="false">Tabela54[[#This Row],[Kolumna5]]*Tabela54[[#This Row],[Kolumna63]]</f>
        <v>0</v>
      </c>
      <c r="AP54" s="53" t="n">
        <v>1</v>
      </c>
      <c r="AQ54" s="29" t="s">
        <v>243</v>
      </c>
      <c r="AR54" s="29" t="s">
        <v>243</v>
      </c>
      <c r="AS54" s="29" t="s">
        <v>243</v>
      </c>
      <c r="AT54" s="29"/>
    </row>
    <row r="55" customFormat="false" ht="30" hidden="false" customHeight="true" outlineLevel="0" collapsed="false">
      <c r="A55" s="25" t="n">
        <v>48</v>
      </c>
      <c r="B55" s="27" t="s">
        <v>241</v>
      </c>
      <c r="C55" s="49" t="s">
        <v>248</v>
      </c>
      <c r="D55" s="134"/>
      <c r="E55" s="135" t="n">
        <v>264</v>
      </c>
      <c r="F5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150.253727272727</v>
      </c>
      <c r="G55" s="135"/>
      <c r="H55" s="130" t="n">
        <v>2</v>
      </c>
      <c r="I55" s="26" t="n">
        <f aca="false">Tabela43[[#This Row],[Kolumna5]]*20700*0.27778</f>
        <v>11500.092</v>
      </c>
      <c r="J55" s="130"/>
      <c r="K55" s="130"/>
      <c r="L55" s="28" t="n">
        <f aca="false">Tabela43[[#This Row],[Kolumna8]]*0.000843882*40190*0.27778</f>
        <v>0</v>
      </c>
      <c r="M55" s="130"/>
      <c r="N55" s="130"/>
      <c r="O55" s="28" t="n">
        <f aca="false">Tabela43[[#This Row],[Kolumna82]]*35.94*0.27778</f>
        <v>0</v>
      </c>
      <c r="P55" s="130"/>
      <c r="Q55" s="130"/>
      <c r="R55" s="130" t="n">
        <v>10</v>
      </c>
      <c r="S55" s="116" t="n">
        <f aca="false">Tabela43[[#This Row],[Kolumna92]]*0.65</f>
        <v>6.5</v>
      </c>
      <c r="T55" s="28" t="n">
        <f aca="false">Tabela43[[#This Row],[Kolumna10]]*15600*0.27778</f>
        <v>28166.892</v>
      </c>
      <c r="U55" s="143"/>
      <c r="V55" s="130"/>
      <c r="W55" s="130"/>
      <c r="X55" s="130"/>
      <c r="Y55" s="130"/>
      <c r="Z55" s="28"/>
      <c r="AA55" s="125" t="n">
        <v>4</v>
      </c>
      <c r="AB55" s="125"/>
      <c r="AC55" s="125"/>
      <c r="AD55" s="122" t="n">
        <v>4200</v>
      </c>
      <c r="AE55" s="120" t="n">
        <f aca="false">Tabela54[[#This Row],[Kolumna23]]*Tabela54[[#This Row],[Kolumna63]]</f>
        <v>1260</v>
      </c>
      <c r="AF55" s="120"/>
      <c r="AG55" s="122"/>
      <c r="AH55" s="122" t="n">
        <v>1080</v>
      </c>
      <c r="AI55" s="119" t="n">
        <f aca="false">Tabela54[[#This Row],[Kolumna223]]*Tabela54[[#This Row],[Kolumna63]]</f>
        <v>324</v>
      </c>
      <c r="AJ55" s="119"/>
      <c r="AK55" s="119"/>
      <c r="AL55" s="119"/>
      <c r="AM55" s="119" t="n">
        <f aca="false">Tabela54[[#This Row],[Kolumna322]]*Tabela54[[#This Row],[Kolumna63]]</f>
        <v>0</v>
      </c>
      <c r="AN55" s="122"/>
      <c r="AO55" s="122" t="n">
        <f aca="false">Tabela54[[#This Row],[Kolumna5]]*Tabela54[[#This Row],[Kolumna63]]</f>
        <v>0</v>
      </c>
      <c r="AP55" s="53" t="n">
        <v>0.3</v>
      </c>
      <c r="AQ55" s="29" t="s">
        <v>243</v>
      </c>
      <c r="AR55" s="29" t="s">
        <v>243</v>
      </c>
      <c r="AS55" s="29" t="s">
        <v>243</v>
      </c>
      <c r="AT55" s="29"/>
    </row>
    <row r="56" customFormat="false" ht="30" hidden="false" customHeight="true" outlineLevel="0" collapsed="false">
      <c r="A56" s="25" t="n">
        <v>49</v>
      </c>
      <c r="B56" s="27" t="s">
        <v>241</v>
      </c>
      <c r="C56" s="49" t="s">
        <v>248</v>
      </c>
      <c r="D56" s="134"/>
      <c r="E56" s="135" t="n">
        <v>150</v>
      </c>
      <c r="F5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115.00092</v>
      </c>
      <c r="G56" s="135"/>
      <c r="H56" s="130" t="n">
        <v>3</v>
      </c>
      <c r="I56" s="26" t="n">
        <f aca="false">Tabela43[[#This Row],[Kolumna5]]*20700*0.27778</f>
        <v>17250.138</v>
      </c>
      <c r="J56" s="130"/>
      <c r="K56" s="130"/>
      <c r="L56" s="28" t="n">
        <f aca="false">Tabela43[[#This Row],[Kolumna8]]*0.000843882*40190*0.27778</f>
        <v>0</v>
      </c>
      <c r="M56" s="130"/>
      <c r="N56" s="130"/>
      <c r="O56" s="28" t="n">
        <f aca="false">Tabela43[[#This Row],[Kolumna82]]*35.94*0.27778</f>
        <v>0</v>
      </c>
      <c r="P56" s="130"/>
      <c r="Q56" s="130"/>
      <c r="R56" s="130"/>
      <c r="S56" s="116" t="n">
        <f aca="false">Tabela43[[#This Row],[Kolumna92]]*0.65</f>
        <v>0</v>
      </c>
      <c r="T56" s="28" t="n">
        <f aca="false">Tabela43[[#This Row],[Kolumna10]]*15600*0.27778</f>
        <v>0</v>
      </c>
      <c r="U56" s="130"/>
      <c r="V56" s="130"/>
      <c r="W56" s="130"/>
      <c r="X56" s="130"/>
      <c r="Y56" s="130"/>
      <c r="Z56" s="28"/>
      <c r="AA56" s="125" t="n">
        <v>3</v>
      </c>
      <c r="AB56" s="125"/>
      <c r="AC56" s="125"/>
      <c r="AD56" s="122"/>
      <c r="AE56" s="120" t="n">
        <f aca="false">Tabela54[[#This Row],[Kolumna23]]*Tabela54[[#This Row],[Kolumna63]]</f>
        <v>0</v>
      </c>
      <c r="AF56" s="120"/>
      <c r="AG56" s="122"/>
      <c r="AH56" s="122"/>
      <c r="AI56" s="119" t="n">
        <f aca="false">Tabela54[[#This Row],[Kolumna223]]*Tabela54[[#This Row],[Kolumna63]]</f>
        <v>0</v>
      </c>
      <c r="AJ56" s="119"/>
      <c r="AK56" s="119"/>
      <c r="AL56" s="119" t="n">
        <v>600</v>
      </c>
      <c r="AM56" s="119" t="n">
        <f aca="false">Tabela54[[#This Row],[Kolumna322]]*Tabela54[[#This Row],[Kolumna63]]</f>
        <v>540</v>
      </c>
      <c r="AN56" s="122"/>
      <c r="AO56" s="122" t="n">
        <f aca="false">Tabela54[[#This Row],[Kolumna5]]*Tabela54[[#This Row],[Kolumna63]]</f>
        <v>0</v>
      </c>
      <c r="AP56" s="53" t="n">
        <v>0.9</v>
      </c>
      <c r="AQ56" s="29" t="s">
        <v>243</v>
      </c>
      <c r="AR56" s="29" t="s">
        <v>243</v>
      </c>
      <c r="AS56" s="29" t="s">
        <v>243</v>
      </c>
      <c r="AT56" s="29"/>
    </row>
    <row r="57" customFormat="false" ht="30" hidden="false" customHeight="true" outlineLevel="0" collapsed="false">
      <c r="A57" s="40" t="n">
        <v>50</v>
      </c>
      <c r="B57" s="27" t="s">
        <v>241</v>
      </c>
      <c r="C57" s="49" t="s">
        <v>256</v>
      </c>
      <c r="D57" s="134"/>
      <c r="E57" s="135" t="n">
        <v>100</v>
      </c>
      <c r="F5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338.002704</v>
      </c>
      <c r="G57" s="135"/>
      <c r="H57" s="130"/>
      <c r="I57" s="26" t="n">
        <f aca="false">Tabela43[[#This Row],[Kolumna5]]*20700*0.27778</f>
        <v>0</v>
      </c>
      <c r="J57" s="130"/>
      <c r="K57" s="130"/>
      <c r="L57" s="28" t="n">
        <f aca="false">Tabela43[[#This Row],[Kolumna8]]*0.000843882*40190*0.27778</f>
        <v>0</v>
      </c>
      <c r="M57" s="130"/>
      <c r="N57" s="130"/>
      <c r="O57" s="28" t="n">
        <f aca="false">Tabela43[[#This Row],[Kolumna82]]*35.94*0.27778</f>
        <v>0</v>
      </c>
      <c r="P57" s="130"/>
      <c r="Q57" s="130"/>
      <c r="R57" s="130" t="n">
        <v>12</v>
      </c>
      <c r="S57" s="116" t="n">
        <f aca="false">Tabela43[[#This Row],[Kolumna92]]*0.65</f>
        <v>7.8</v>
      </c>
      <c r="T57" s="28" t="n">
        <f aca="false">Tabela43[[#This Row],[Kolumna10]]*15600*0.27778</f>
        <v>33800.2704</v>
      </c>
      <c r="U57" s="130"/>
      <c r="V57" s="130"/>
      <c r="W57" s="130"/>
      <c r="X57" s="130"/>
      <c r="Y57" s="130"/>
      <c r="Z57" s="28" t="n">
        <v>1000</v>
      </c>
      <c r="AA57" s="125" t="n">
        <v>0</v>
      </c>
      <c r="AB57" s="125"/>
      <c r="AC57" s="125"/>
      <c r="AD57" s="122"/>
      <c r="AE57" s="120" t="n">
        <f aca="false">Tabela54[[#This Row],[Kolumna23]]*Tabela54[[#This Row],[Kolumna63]]</f>
        <v>0</v>
      </c>
      <c r="AF57" s="120"/>
      <c r="AG57" s="122"/>
      <c r="AH57" s="122"/>
      <c r="AI57" s="119" t="n">
        <f aca="false">Tabela54[[#This Row],[Kolumna223]]*Tabela54[[#This Row],[Kolumna63]]</f>
        <v>0</v>
      </c>
      <c r="AJ57" s="119"/>
      <c r="AK57" s="119"/>
      <c r="AL57" s="119"/>
      <c r="AM57" s="119" t="n">
        <f aca="false">Tabela54[[#This Row],[Kolumna322]]*Tabela54[[#This Row],[Kolumna63]]</f>
        <v>0</v>
      </c>
      <c r="AN57" s="122"/>
      <c r="AO57" s="122" t="n">
        <f aca="false">Tabela54[[#This Row],[Kolumna5]]*Tabela54[[#This Row],[Kolumna63]]</f>
        <v>0</v>
      </c>
      <c r="AP57" s="53"/>
      <c r="AQ57" s="29" t="s">
        <v>243</v>
      </c>
      <c r="AR57" s="29" t="s">
        <v>243</v>
      </c>
      <c r="AS57" s="29" t="s">
        <v>243</v>
      </c>
      <c r="AT57" s="29"/>
    </row>
    <row r="58" customFormat="false" ht="30" hidden="false" customHeight="true" outlineLevel="0" collapsed="false">
      <c r="A58" s="25" t="n">
        <v>51</v>
      </c>
      <c r="B58" s="27" t="s">
        <v>241</v>
      </c>
      <c r="C58" s="49" t="s">
        <v>248</v>
      </c>
      <c r="D58" s="134"/>
      <c r="E58" s="135" t="n">
        <v>120</v>
      </c>
      <c r="F5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378.47525</v>
      </c>
      <c r="G58" s="135"/>
      <c r="H58" s="130" t="n">
        <v>3</v>
      </c>
      <c r="I58" s="26" t="n">
        <f aca="false">Tabela43[[#This Row],[Kolumna5]]*20700*0.27778</f>
        <v>17250.138</v>
      </c>
      <c r="J58" s="130"/>
      <c r="K58" s="130"/>
      <c r="L58" s="28" t="n">
        <f aca="false">Tabela43[[#This Row],[Kolumna8]]*0.000843882*40190*0.27778</f>
        <v>0</v>
      </c>
      <c r="M58" s="130"/>
      <c r="N58" s="130"/>
      <c r="O58" s="28" t="n">
        <f aca="false">Tabela43[[#This Row],[Kolumna82]]*35.94*0.27778</f>
        <v>0</v>
      </c>
      <c r="P58" s="130"/>
      <c r="Q58" s="130"/>
      <c r="R58" s="130" t="n">
        <v>10</v>
      </c>
      <c r="S58" s="116" t="n">
        <f aca="false">Tabela43[[#This Row],[Kolumna92]]*0.65</f>
        <v>6.5</v>
      </c>
      <c r="T58" s="28" t="n">
        <f aca="false">Tabela43[[#This Row],[Kolumna10]]*15600*0.27778</f>
        <v>28166.892</v>
      </c>
      <c r="U58" s="130"/>
      <c r="V58" s="130"/>
      <c r="W58" s="130"/>
      <c r="X58" s="130"/>
      <c r="Y58" s="130"/>
      <c r="Z58" s="28" t="n">
        <v>1200</v>
      </c>
      <c r="AA58" s="125" t="n">
        <v>0</v>
      </c>
      <c r="AB58" s="125"/>
      <c r="AC58" s="125"/>
      <c r="AD58" s="122"/>
      <c r="AE58" s="120" t="n">
        <f aca="false">Tabela54[[#This Row],[Kolumna23]]*Tabela54[[#This Row],[Kolumna63]]</f>
        <v>0</v>
      </c>
      <c r="AF58" s="120"/>
      <c r="AG58" s="122"/>
      <c r="AH58" s="122"/>
      <c r="AI58" s="119" t="n">
        <f aca="false">Tabela54[[#This Row],[Kolumna223]]*Tabela54[[#This Row],[Kolumna63]]</f>
        <v>0</v>
      </c>
      <c r="AJ58" s="119"/>
      <c r="AK58" s="119"/>
      <c r="AL58" s="119"/>
      <c r="AM58" s="119" t="n">
        <f aca="false">Tabela54[[#This Row],[Kolumna322]]*Tabela54[[#This Row],[Kolumna63]]</f>
        <v>0</v>
      </c>
      <c r="AN58" s="122"/>
      <c r="AO58" s="122" t="n">
        <f aca="false">Tabela54[[#This Row],[Kolumna5]]*Tabela54[[#This Row],[Kolumna63]]</f>
        <v>0</v>
      </c>
      <c r="AP58" s="53"/>
      <c r="AQ58" s="29" t="s">
        <v>243</v>
      </c>
      <c r="AR58" s="29" t="s">
        <v>243</v>
      </c>
      <c r="AS58" s="29" t="s">
        <v>243</v>
      </c>
      <c r="AT58" s="29"/>
    </row>
    <row r="59" customFormat="false" ht="30" hidden="false" customHeight="true" outlineLevel="0" collapsed="false">
      <c r="A59" s="25" t="n">
        <v>52</v>
      </c>
      <c r="B59" s="27" t="s">
        <v>241</v>
      </c>
      <c r="C59" s="49" t="s">
        <v>248</v>
      </c>
      <c r="D59" s="134"/>
      <c r="E59" s="135" t="n">
        <v>160</v>
      </c>
      <c r="F5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367.4821065</v>
      </c>
      <c r="G59" s="135"/>
      <c r="H59" s="130" t="n">
        <v>4</v>
      </c>
      <c r="I59" s="26" t="n">
        <f aca="false">Tabela43[[#This Row],[Kolumna5]]*20700*0.27778</f>
        <v>23000.184</v>
      </c>
      <c r="J59" s="130"/>
      <c r="K59" s="130"/>
      <c r="L59" s="28" t="n">
        <f aca="false">Tabela43[[#This Row],[Kolumna8]]*0.000843882*40190*0.27778</f>
        <v>0</v>
      </c>
      <c r="M59" s="130"/>
      <c r="N59" s="130" t="n">
        <v>200</v>
      </c>
      <c r="O59" s="28" t="n">
        <f aca="false">Tabela43[[#This Row],[Kolumna82]]*35.94*0.27778</f>
        <v>1996.68264</v>
      </c>
      <c r="P59" s="130"/>
      <c r="Q59" s="130"/>
      <c r="R59" s="130" t="n">
        <v>12</v>
      </c>
      <c r="S59" s="116" t="n">
        <f aca="false">Tabela43[[#This Row],[Kolumna92]]*0.65</f>
        <v>7.8</v>
      </c>
      <c r="T59" s="28" t="n">
        <f aca="false">Tabela43[[#This Row],[Kolumna10]]*15600*0.27778</f>
        <v>33800.2704</v>
      </c>
      <c r="U59" s="130"/>
      <c r="V59" s="130"/>
      <c r="W59" s="130"/>
      <c r="X59" s="130"/>
      <c r="Y59" s="130"/>
      <c r="Z59" s="28" t="n">
        <v>2000</v>
      </c>
      <c r="AA59" s="125" t="n">
        <v>1</v>
      </c>
      <c r="AB59" s="125"/>
      <c r="AC59" s="125"/>
      <c r="AD59" s="122" t="n">
        <v>1000</v>
      </c>
      <c r="AE59" s="120" t="n">
        <f aca="false">Tabela54[[#This Row],[Kolumna23]]*Tabela54[[#This Row],[Kolumna63]]</f>
        <v>800</v>
      </c>
      <c r="AF59" s="120"/>
      <c r="AG59" s="133"/>
      <c r="AH59" s="133"/>
      <c r="AI59" s="119" t="n">
        <f aca="false">Tabela54[[#This Row],[Kolumna223]]*Tabela54[[#This Row],[Kolumna63]]</f>
        <v>0</v>
      </c>
      <c r="AJ59" s="119"/>
      <c r="AK59" s="119"/>
      <c r="AL59" s="119"/>
      <c r="AM59" s="119" t="n">
        <f aca="false">Tabela54[[#This Row],[Kolumna322]]*Tabela54[[#This Row],[Kolumna63]]</f>
        <v>0</v>
      </c>
      <c r="AN59" s="122"/>
      <c r="AO59" s="122" t="n">
        <f aca="false">Tabela54[[#This Row],[Kolumna5]]*Tabela54[[#This Row],[Kolumna63]]</f>
        <v>0</v>
      </c>
      <c r="AP59" s="53" t="n">
        <v>0.8</v>
      </c>
      <c r="AQ59" s="29" t="s">
        <v>243</v>
      </c>
      <c r="AR59" s="29" t="s">
        <v>243</v>
      </c>
      <c r="AS59" s="29" t="s">
        <v>243</v>
      </c>
      <c r="AT59" s="29"/>
    </row>
    <row r="60" customFormat="false" ht="30" hidden="false" customHeight="true" outlineLevel="0" collapsed="false">
      <c r="A60" s="40" t="n">
        <v>53</v>
      </c>
      <c r="B60" s="27" t="s">
        <v>241</v>
      </c>
      <c r="C60" s="49" t="s">
        <v>246</v>
      </c>
      <c r="D60" s="134"/>
      <c r="E60" s="135" t="n">
        <v>120</v>
      </c>
      <c r="F6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354.3292235</v>
      </c>
      <c r="G60" s="135"/>
      <c r="H60" s="130" t="n">
        <v>2</v>
      </c>
      <c r="I60" s="26" t="n">
        <f aca="false">Tabela43[[#This Row],[Kolumna5]]*20700*0.27778</f>
        <v>11500.092</v>
      </c>
      <c r="J60" s="130"/>
      <c r="K60" s="130"/>
      <c r="L60" s="28" t="n">
        <f aca="false">Tabela43[[#This Row],[Kolumna8]]*0.000843882*40190*0.27778</f>
        <v>0</v>
      </c>
      <c r="M60" s="130"/>
      <c r="N60" s="130" t="n">
        <v>850</v>
      </c>
      <c r="O60" s="28" t="n">
        <f aca="false">Tabela43[[#This Row],[Kolumna82]]*35.94*0.27778</f>
        <v>8485.90122</v>
      </c>
      <c r="P60" s="130"/>
      <c r="Q60" s="130"/>
      <c r="R60" s="130" t="n">
        <v>8</v>
      </c>
      <c r="S60" s="116" t="n">
        <f aca="false">Tabela43[[#This Row],[Kolumna92]]*0.65</f>
        <v>5.2</v>
      </c>
      <c r="T60" s="28" t="n">
        <f aca="false">Tabela43[[#This Row],[Kolumna10]]*15600*0.27778</f>
        <v>22533.5136</v>
      </c>
      <c r="U60" s="130"/>
      <c r="V60" s="130"/>
      <c r="W60" s="130"/>
      <c r="X60" s="130"/>
      <c r="Y60" s="130"/>
      <c r="Z60" s="28"/>
      <c r="AA60" s="125" t="n">
        <v>0</v>
      </c>
      <c r="AB60" s="125"/>
      <c r="AC60" s="125"/>
      <c r="AD60" s="122"/>
      <c r="AE60" s="120" t="n">
        <f aca="false">Tabela54[[#This Row],[Kolumna23]]*Tabela54[[#This Row],[Kolumna63]]</f>
        <v>0</v>
      </c>
      <c r="AF60" s="120"/>
      <c r="AG60" s="122"/>
      <c r="AH60" s="122"/>
      <c r="AI60" s="119" t="n">
        <f aca="false">Tabela54[[#This Row],[Kolumna223]]*Tabela54[[#This Row],[Kolumna63]]</f>
        <v>0</v>
      </c>
      <c r="AJ60" s="119"/>
      <c r="AK60" s="122"/>
      <c r="AL60" s="122"/>
      <c r="AM60" s="119" t="n">
        <f aca="false">Tabela54[[#This Row],[Kolumna322]]*Tabela54[[#This Row],[Kolumna63]]</f>
        <v>0</v>
      </c>
      <c r="AN60" s="122"/>
      <c r="AO60" s="122" t="n">
        <f aca="false">Tabela54[[#This Row],[Kolumna5]]*Tabela54[[#This Row],[Kolumna63]]</f>
        <v>0</v>
      </c>
      <c r="AP60" s="53"/>
      <c r="AQ60" s="29" t="s">
        <v>243</v>
      </c>
      <c r="AR60" s="29" t="s">
        <v>243</v>
      </c>
      <c r="AS60" s="29" t="s">
        <v>243</v>
      </c>
      <c r="AT60" s="29"/>
    </row>
    <row r="61" customFormat="false" ht="30" hidden="false" customHeight="true" outlineLevel="0" collapsed="false">
      <c r="A61" s="25" t="n">
        <v>54</v>
      </c>
      <c r="B61" s="27" t="s">
        <v>241</v>
      </c>
      <c r="C61" s="49" t="s">
        <v>257</v>
      </c>
      <c r="D61" s="134"/>
      <c r="E61" s="135" t="n">
        <v>150</v>
      </c>
      <c r="F6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95.8341</v>
      </c>
      <c r="G61" s="135"/>
      <c r="H61" s="130" t="n">
        <v>2.5</v>
      </c>
      <c r="I61" s="26" t="n">
        <f aca="false">Tabela43[[#This Row],[Kolumna5]]*20700*0.27778</f>
        <v>14375.115</v>
      </c>
      <c r="J61" s="130"/>
      <c r="K61" s="130"/>
      <c r="L61" s="28" t="n">
        <f aca="false">Tabela43[[#This Row],[Kolumna8]]*0.000843882*40190*0.27778</f>
        <v>0</v>
      </c>
      <c r="M61" s="130"/>
      <c r="N61" s="130"/>
      <c r="O61" s="28" t="n">
        <f aca="false">Tabela43[[#This Row],[Kolumna82]]*35.94*0.27778</f>
        <v>0</v>
      </c>
      <c r="P61" s="130"/>
      <c r="Q61" s="130"/>
      <c r="R61" s="130"/>
      <c r="S61" s="116" t="n">
        <f aca="false">Tabela43[[#This Row],[Kolumna92]]*0.65</f>
        <v>0</v>
      </c>
      <c r="T61" s="28" t="n">
        <f aca="false">Tabela43[[#This Row],[Kolumna10]]*15600*0.27778</f>
        <v>0</v>
      </c>
      <c r="U61" s="130"/>
      <c r="V61" s="130"/>
      <c r="W61" s="130"/>
      <c r="X61" s="130"/>
      <c r="Y61" s="130"/>
      <c r="Z61" s="28"/>
      <c r="AA61" s="125" t="n">
        <v>2</v>
      </c>
      <c r="AB61" s="125"/>
      <c r="AC61" s="125"/>
      <c r="AD61" s="122"/>
      <c r="AE61" s="120" t="n">
        <f aca="false">Tabela54[[#This Row],[Kolumna23]]*Tabela54[[#This Row],[Kolumna63]]</f>
        <v>0</v>
      </c>
      <c r="AF61" s="120"/>
      <c r="AG61" s="122"/>
      <c r="AH61" s="122"/>
      <c r="AI61" s="119" t="n">
        <f aca="false">Tabela54[[#This Row],[Kolumna223]]*Tabela54[[#This Row],[Kolumna63]]</f>
        <v>0</v>
      </c>
      <c r="AJ61" s="119"/>
      <c r="AK61" s="122"/>
      <c r="AL61" s="122"/>
      <c r="AM61" s="119" t="n">
        <f aca="false">Tabela54[[#This Row],[Kolumna322]]*Tabela54[[#This Row],[Kolumna63]]</f>
        <v>0</v>
      </c>
      <c r="AN61" s="122"/>
      <c r="AO61" s="122" t="n">
        <f aca="false">Tabela54[[#This Row],[Kolumna5]]*Tabela54[[#This Row],[Kolumna63]]</f>
        <v>0</v>
      </c>
      <c r="AP61" s="122"/>
      <c r="AQ61" s="29" t="s">
        <v>243</v>
      </c>
      <c r="AR61" s="29" t="s">
        <v>243</v>
      </c>
      <c r="AS61" s="29" t="s">
        <v>243</v>
      </c>
      <c r="AT61" s="29" t="s">
        <v>258</v>
      </c>
    </row>
    <row r="62" customFormat="false" ht="30" hidden="false" customHeight="true" outlineLevel="0" collapsed="false">
      <c r="A62" s="25" t="n">
        <v>55</v>
      </c>
      <c r="B62" s="27" t="s">
        <v>241</v>
      </c>
      <c r="C62" s="49" t="s">
        <v>242</v>
      </c>
      <c r="D62" s="134"/>
      <c r="E62" s="135" t="n">
        <v>150</v>
      </c>
      <c r="F6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207.223730666667</v>
      </c>
      <c r="G62" s="135"/>
      <c r="H62" s="130" t="n">
        <v>1</v>
      </c>
      <c r="I62" s="26" t="n">
        <f aca="false">Tabela43[[#This Row],[Kolumna5]]*20700*0.27778</f>
        <v>5750.046</v>
      </c>
      <c r="J62" s="130"/>
      <c r="K62" s="130"/>
      <c r="L62" s="28" t="n">
        <f aca="false">Tabela43[[#This Row],[Kolumna8]]*0.000843882*40190*0.27778</f>
        <v>0</v>
      </c>
      <c r="M62" s="130"/>
      <c r="N62" s="130"/>
      <c r="O62" s="28" t="n">
        <f aca="false">Tabela43[[#This Row],[Kolumna82]]*35.94*0.27778</f>
        <v>0</v>
      </c>
      <c r="P62" s="130" t="n">
        <v>20</v>
      </c>
      <c r="Q62" s="130"/>
      <c r="R62" s="130" t="n">
        <v>8</v>
      </c>
      <c r="S62" s="116" t="n">
        <f aca="false">Tabela43[[#This Row],[Kolumna92]]*0.65</f>
        <v>5.2</v>
      </c>
      <c r="T62" s="28" t="n">
        <f aca="false">Tabela43[[#This Row],[Kolumna10]]*15600*0.27778</f>
        <v>22533.5136</v>
      </c>
      <c r="U62" s="130"/>
      <c r="V62" s="130"/>
      <c r="W62" s="130"/>
      <c r="X62" s="130"/>
      <c r="Y62" s="130" t="n">
        <v>2800</v>
      </c>
      <c r="Z62" s="28" t="n">
        <f aca="false">Tabela43[[#This Row],[Kolumna123]]/0.55</f>
        <v>5090.90909090909</v>
      </c>
      <c r="AA62" s="125" t="n">
        <v>2</v>
      </c>
      <c r="AB62" s="125"/>
      <c r="AC62" s="125"/>
      <c r="AD62" s="122" t="n">
        <v>300</v>
      </c>
      <c r="AE62" s="120" t="n">
        <f aca="false">Tabela54[[#This Row],[Kolumna23]]*Tabela54[[#This Row],[Kolumna63]]</f>
        <v>270</v>
      </c>
      <c r="AF62" s="120"/>
      <c r="AG62" s="122"/>
      <c r="AH62" s="122" t="n">
        <v>2000</v>
      </c>
      <c r="AI62" s="119" t="n">
        <f aca="false">Tabela54[[#This Row],[Kolumna223]]*Tabela54[[#This Row],[Kolumna63]]</f>
        <v>1800</v>
      </c>
      <c r="AJ62" s="119"/>
      <c r="AK62" s="122"/>
      <c r="AL62" s="122"/>
      <c r="AM62" s="119" t="n">
        <f aca="false">Tabela54[[#This Row],[Kolumna322]]*Tabela54[[#This Row],[Kolumna63]]</f>
        <v>0</v>
      </c>
      <c r="AN62" s="122"/>
      <c r="AO62" s="122" t="n">
        <f aca="false">Tabela54[[#This Row],[Kolumna5]]*Tabela54[[#This Row],[Kolumna63]]</f>
        <v>0</v>
      </c>
      <c r="AP62" s="53" t="n">
        <v>0.9</v>
      </c>
      <c r="AQ62" s="29" t="s">
        <v>243</v>
      </c>
      <c r="AR62" s="29" t="s">
        <v>244</v>
      </c>
      <c r="AS62" s="29" t="s">
        <v>243</v>
      </c>
      <c r="AT62" s="29"/>
    </row>
    <row r="63" customFormat="false" ht="30" hidden="false" customHeight="true" outlineLevel="0" collapsed="false">
      <c r="A63" s="40" t="n">
        <v>56</v>
      </c>
      <c r="B63" s="27" t="s">
        <v>241</v>
      </c>
      <c r="C63" s="49" t="s">
        <v>247</v>
      </c>
      <c r="D63" s="134"/>
      <c r="E63" s="135" t="n">
        <v>100</v>
      </c>
      <c r="F6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248.035164</v>
      </c>
      <c r="G63" s="135"/>
      <c r="H63" s="130" t="n">
        <v>3</v>
      </c>
      <c r="I63" s="26" t="n">
        <f aca="false">Tabela43[[#This Row],[Kolumna5]]*20700*0.27778</f>
        <v>17250.138</v>
      </c>
      <c r="J63" s="130"/>
      <c r="K63" s="130"/>
      <c r="L63" s="28" t="n">
        <f aca="false">Tabela43[[#This Row],[Kolumna8]]*0.000843882*40190*0.27778</f>
        <v>0</v>
      </c>
      <c r="M63" s="130"/>
      <c r="N63" s="130"/>
      <c r="O63" s="28" t="n">
        <f aca="false">Tabela43[[#This Row],[Kolumna82]]*35.94*0.27778</f>
        <v>0</v>
      </c>
      <c r="P63" s="130"/>
      <c r="Q63" s="130"/>
      <c r="R63" s="130" t="n">
        <v>2</v>
      </c>
      <c r="S63" s="116" t="n">
        <f aca="false">Tabela43[[#This Row],[Kolumna92]]*0.65</f>
        <v>1.3</v>
      </c>
      <c r="T63" s="28" t="n">
        <f aca="false">Tabela43[[#This Row],[Kolumna10]]*15600*0.27778</f>
        <v>5633.3784</v>
      </c>
      <c r="U63" s="130"/>
      <c r="V63" s="130"/>
      <c r="W63" s="130"/>
      <c r="X63" s="130" t="n">
        <v>160</v>
      </c>
      <c r="Y63" s="130" t="n">
        <f aca="false">Tabela43[[#This Row],[Kolumna1223]]*12</f>
        <v>1920</v>
      </c>
      <c r="Z63" s="28" t="n">
        <f aca="false">Tabela43[[#This Row],[Kolumna123]]/0.55</f>
        <v>3490.90909090909</v>
      </c>
      <c r="AA63" s="125"/>
      <c r="AB63" s="125"/>
      <c r="AC63" s="125"/>
      <c r="AD63" s="122"/>
      <c r="AE63" s="120" t="n">
        <f aca="false">Tabela54[[#This Row],[Kolumna23]]*Tabela54[[#This Row],[Kolumna63]]</f>
        <v>0</v>
      </c>
      <c r="AF63" s="120"/>
      <c r="AG63" s="122"/>
      <c r="AH63" s="122"/>
      <c r="AI63" s="119" t="n">
        <f aca="false">Tabela54[[#This Row],[Kolumna223]]*Tabela54[[#This Row],[Kolumna63]]</f>
        <v>0</v>
      </c>
      <c r="AJ63" s="119" t="n">
        <v>300</v>
      </c>
      <c r="AK63" s="122" t="n">
        <f aca="false">Tabela54[[#This Row],[Kolumna34]]*12</f>
        <v>3600</v>
      </c>
      <c r="AL63" s="122" t="n">
        <f aca="false">Tabela54[[#This Row],[Kolumna32]]/4.2</f>
        <v>857.142857142857</v>
      </c>
      <c r="AM63" s="119" t="n">
        <f aca="false">Tabela54[[#This Row],[Kolumna322]]*Tabela54[[#This Row],[Kolumna63]]</f>
        <v>342.857142857143</v>
      </c>
      <c r="AN63" s="122"/>
      <c r="AO63" s="122" t="n">
        <f aca="false">Tabela54[[#This Row],[Kolumna5]]*Tabela54[[#This Row],[Kolumna63]]</f>
        <v>0</v>
      </c>
      <c r="AP63" s="53" t="n">
        <v>0.4</v>
      </c>
      <c r="AQ63" s="29"/>
      <c r="AR63" s="29"/>
      <c r="AS63" s="29"/>
      <c r="AT63" s="29"/>
    </row>
    <row r="64" customFormat="false" ht="30" hidden="false" customHeight="true" outlineLevel="0" collapsed="false">
      <c r="A64" s="25" t="n">
        <v>57</v>
      </c>
      <c r="B64" s="27" t="s">
        <v>241</v>
      </c>
      <c r="C64" s="49" t="s">
        <v>247</v>
      </c>
      <c r="D64" s="134"/>
      <c r="E64" s="135" t="n">
        <v>180</v>
      </c>
      <c r="F6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267.631653333333</v>
      </c>
      <c r="G64" s="135"/>
      <c r="H64" s="130" t="n">
        <v>4</v>
      </c>
      <c r="I64" s="26" t="n">
        <f aca="false">Tabela43[[#This Row],[Kolumna5]]*20700*0.27778</f>
        <v>23000.184</v>
      </c>
      <c r="J64" s="130"/>
      <c r="K64" s="130"/>
      <c r="L64" s="28" t="n">
        <f aca="false">Tabela43[[#This Row],[Kolumna8]]*0.000843882*40190*0.27778</f>
        <v>0</v>
      </c>
      <c r="M64" s="130"/>
      <c r="N64" s="130"/>
      <c r="O64" s="28" t="n">
        <f aca="false">Tabela43[[#This Row],[Kolumna82]]*35.94*0.27778</f>
        <v>0</v>
      </c>
      <c r="P64" s="130"/>
      <c r="Q64" s="130"/>
      <c r="R64" s="130" t="n">
        <v>8</v>
      </c>
      <c r="S64" s="116" t="n">
        <f aca="false">Tabela43[[#This Row],[Kolumna92]]*0.65</f>
        <v>5.2</v>
      </c>
      <c r="T64" s="28" t="n">
        <f aca="false">Tabela43[[#This Row],[Kolumna10]]*15600*0.27778</f>
        <v>22533.5136</v>
      </c>
      <c r="U64" s="130"/>
      <c r="V64" s="130"/>
      <c r="W64" s="130"/>
      <c r="X64" s="130" t="n">
        <v>220</v>
      </c>
      <c r="Y64" s="130" t="n">
        <f aca="false">Tabela43[[#This Row],[Kolumna1223]]*12</f>
        <v>2640</v>
      </c>
      <c r="Z64" s="28" t="n">
        <f aca="false">Tabela43[[#This Row],[Kolumna123]]/0.55</f>
        <v>4800</v>
      </c>
      <c r="AA64" s="125"/>
      <c r="AB64" s="125" t="n">
        <v>300</v>
      </c>
      <c r="AC64" s="125" t="n">
        <f aca="false">Tabela54[[#This Row],[Kolumna22]]*12</f>
        <v>3600</v>
      </c>
      <c r="AD64" s="122" t="n">
        <f aca="false">Tabela54[[#This Row],[Kolumna3]]/4.44</f>
        <v>810.810810810811</v>
      </c>
      <c r="AE64" s="120" t="n">
        <f aca="false">Tabela54[[#This Row],[Kolumna23]]*Tabela54[[#This Row],[Kolumna63]]</f>
        <v>405.405405405405</v>
      </c>
      <c r="AF64" s="120" t="n">
        <v>200</v>
      </c>
      <c r="AG64" s="122" t="n">
        <f aca="false">Tabela54[[#This Row],[Kolumna12]]*12</f>
        <v>2400</v>
      </c>
      <c r="AH64" s="122" t="n">
        <f aca="false">Tabela54[[#This Row],[Kolumna222]]/1.59</f>
        <v>1509.43396226415</v>
      </c>
      <c r="AI64" s="119" t="n">
        <f aca="false">Tabela54[[#This Row],[Kolumna223]]*Tabela54[[#This Row],[Kolumna63]]</f>
        <v>754.716981132076</v>
      </c>
      <c r="AJ64" s="119"/>
      <c r="AK64" s="122"/>
      <c r="AL64" s="122" t="n">
        <f aca="false">Tabela54[[#This Row],[Kolumna32]]/4.2</f>
        <v>0</v>
      </c>
      <c r="AM64" s="119" t="n">
        <f aca="false">Tabela54[[#This Row],[Kolumna322]]*Tabela54[[#This Row],[Kolumna63]]</f>
        <v>0</v>
      </c>
      <c r="AN64" s="122"/>
      <c r="AO64" s="122" t="n">
        <f aca="false">Tabela54[[#This Row],[Kolumna5]]*Tabela54[[#This Row],[Kolumna63]]</f>
        <v>0</v>
      </c>
      <c r="AP64" s="53" t="n">
        <v>0.5</v>
      </c>
      <c r="AQ64" s="29"/>
      <c r="AR64" s="29"/>
      <c r="AS64" s="29"/>
      <c r="AT64" s="29"/>
    </row>
    <row r="65" customFormat="false" ht="30" hidden="false" customHeight="true" outlineLevel="0" collapsed="false">
      <c r="A65" s="25" t="n">
        <v>58</v>
      </c>
      <c r="B65" s="27" t="s">
        <v>241</v>
      </c>
      <c r="C65" s="49" t="s">
        <v>247</v>
      </c>
      <c r="D65" s="134"/>
      <c r="E65" s="135" t="n">
        <v>120</v>
      </c>
      <c r="F6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297.66892</v>
      </c>
      <c r="G65" s="135"/>
      <c r="H65" s="130"/>
      <c r="I65" s="26" t="n">
        <f aca="false">Tabela43[[#This Row],[Kolumna5]]*20700*0.27778</f>
        <v>0</v>
      </c>
      <c r="J65" s="130"/>
      <c r="K65" s="130"/>
      <c r="L65" s="28" t="n">
        <f aca="false">Tabela43[[#This Row],[Kolumna8]]*0.000843882*40190*0.27778</f>
        <v>0</v>
      </c>
      <c r="M65" s="130"/>
      <c r="N65" s="130"/>
      <c r="O65" s="28" t="n">
        <f aca="false">Tabela43[[#This Row],[Kolumna82]]*35.94*0.27778</f>
        <v>0</v>
      </c>
      <c r="P65" s="130"/>
      <c r="Q65" s="130"/>
      <c r="R65" s="130" t="n">
        <v>12</v>
      </c>
      <c r="S65" s="116" t="n">
        <f aca="false">Tabela43[[#This Row],[Kolumna92]]*0.65</f>
        <v>7.8</v>
      </c>
      <c r="T65" s="28" t="n">
        <f aca="false">Tabela43[[#This Row],[Kolumna10]]*15600*0.27778</f>
        <v>33800.2704</v>
      </c>
      <c r="U65" s="130"/>
      <c r="V65" s="130"/>
      <c r="W65" s="130"/>
      <c r="X65" s="130" t="n">
        <v>160</v>
      </c>
      <c r="Y65" s="130" t="n">
        <f aca="false">Tabela43[[#This Row],[Kolumna1223]]*12</f>
        <v>1920</v>
      </c>
      <c r="Z65" s="28" t="n">
        <f aca="false">Tabela43[[#This Row],[Kolumna123]]/0.55</f>
        <v>3490.90909090909</v>
      </c>
      <c r="AA65" s="125"/>
      <c r="AB65" s="125" t="n">
        <v>300</v>
      </c>
      <c r="AC65" s="125" t="n">
        <f aca="false">Tabela54[[#This Row],[Kolumna22]]*12</f>
        <v>3600</v>
      </c>
      <c r="AD65" s="122" t="n">
        <f aca="false">Tabela54[[#This Row],[Kolumna3]]/4.44</f>
        <v>810.810810810811</v>
      </c>
      <c r="AE65" s="120" t="n">
        <f aca="false">Tabela54[[#This Row],[Kolumna23]]*Tabela54[[#This Row],[Kolumna63]]</f>
        <v>324.324324324324</v>
      </c>
      <c r="AF65" s="120"/>
      <c r="AG65" s="122" t="n">
        <f aca="false">Tabela54[[#This Row],[Kolumna12]]*12</f>
        <v>0</v>
      </c>
      <c r="AH65" s="122" t="n">
        <f aca="false">Tabela54[[#This Row],[Kolumna222]]/1.59</f>
        <v>0</v>
      </c>
      <c r="AI65" s="119" t="n">
        <f aca="false">Tabela54[[#This Row],[Kolumna223]]*Tabela54[[#This Row],[Kolumna63]]</f>
        <v>0</v>
      </c>
      <c r="AJ65" s="119"/>
      <c r="AK65" s="122"/>
      <c r="AL65" s="122" t="n">
        <f aca="false">Tabela54[[#This Row],[Kolumna32]]/4.2</f>
        <v>0</v>
      </c>
      <c r="AM65" s="119" t="n">
        <f aca="false">Tabela54[[#This Row],[Kolumna322]]*Tabela54[[#This Row],[Kolumna63]]</f>
        <v>0</v>
      </c>
      <c r="AN65" s="122"/>
      <c r="AO65" s="122" t="n">
        <f aca="false">Tabela54[[#This Row],[Kolumna5]]*Tabela54[[#This Row],[Kolumna63]]</f>
        <v>0</v>
      </c>
      <c r="AP65" s="53" t="n">
        <v>0.4</v>
      </c>
      <c r="AQ65" s="29"/>
      <c r="AR65" s="29"/>
      <c r="AS65" s="29"/>
      <c r="AT65" s="29"/>
    </row>
    <row r="66" customFormat="false" ht="30" hidden="false" customHeight="true" outlineLevel="0" collapsed="false">
      <c r="A66" s="40" t="n">
        <v>59</v>
      </c>
      <c r="B66" s="27" t="s">
        <v>241</v>
      </c>
      <c r="C66" s="49" t="s">
        <v>247</v>
      </c>
      <c r="D66" s="134"/>
      <c r="E66" s="135" t="n">
        <v>120</v>
      </c>
      <c r="F6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194.17788</v>
      </c>
      <c r="G66" s="135"/>
      <c r="H66" s="130"/>
      <c r="I66" s="26" t="n">
        <f aca="false">Tabela43[[#This Row],[Kolumna5]]*20700*0.27778</f>
        <v>0</v>
      </c>
      <c r="J66" s="130"/>
      <c r="K66" s="130"/>
      <c r="L66" s="28" t="n">
        <f aca="false">Tabela43[[#This Row],[Kolumna8]]*0.000843882*40190*0.27778</f>
        <v>0</v>
      </c>
      <c r="M66" s="130" t="n">
        <f aca="false">450*12</f>
        <v>5400</v>
      </c>
      <c r="N66" s="146" t="n">
        <f aca="false">Tabela43[[#This Row],[Kolumna84]]/2.55</f>
        <v>2117.64705882353</v>
      </c>
      <c r="O66" s="28" t="n">
        <f aca="false">Tabela43[[#This Row],[Kolumna82]]*35.94*0.27778</f>
        <v>21141.3456</v>
      </c>
      <c r="P66" s="130"/>
      <c r="Q66" s="130"/>
      <c r="R66" s="130"/>
      <c r="S66" s="116" t="n">
        <f aca="false">Tabela43[[#This Row],[Kolumna92]]*0.65</f>
        <v>0</v>
      </c>
      <c r="T66" s="28" t="n">
        <f aca="false">Tabela43[[#This Row],[Kolumna10]]*15600*0.27778</f>
        <v>0</v>
      </c>
      <c r="U66" s="130"/>
      <c r="V66" s="130"/>
      <c r="W66" s="130"/>
      <c r="X66" s="130" t="n">
        <v>180</v>
      </c>
      <c r="Y66" s="130" t="n">
        <f aca="false">Tabela43[[#This Row],[Kolumna1223]]*12</f>
        <v>2160</v>
      </c>
      <c r="Z66" s="28" t="n">
        <f aca="false">Tabela43[[#This Row],[Kolumna123]]/0.55</f>
        <v>3927.27272727273</v>
      </c>
      <c r="AA66" s="125"/>
      <c r="AB66" s="125"/>
      <c r="AC66" s="125" t="n">
        <f aca="false">Tabela54[[#This Row],[Kolumna22]]*12</f>
        <v>0</v>
      </c>
      <c r="AD66" s="122" t="n">
        <f aca="false">Tabela54[[#This Row],[Kolumna3]]/4.44</f>
        <v>0</v>
      </c>
      <c r="AE66" s="120" t="n">
        <f aca="false">Tabela54[[#This Row],[Kolumna23]]*Tabela54[[#This Row],[Kolumna63]]</f>
        <v>0</v>
      </c>
      <c r="AF66" s="120"/>
      <c r="AG66" s="122" t="n">
        <f aca="false">Tabela54[[#This Row],[Kolumna12]]*12</f>
        <v>0</v>
      </c>
      <c r="AH66" s="122" t="n">
        <f aca="false">Tabela54[[#This Row],[Kolumna222]]/1.59</f>
        <v>0</v>
      </c>
      <c r="AI66" s="119" t="n">
        <f aca="false">Tabela54[[#This Row],[Kolumna223]]*Tabela54[[#This Row],[Kolumna63]]</f>
        <v>0</v>
      </c>
      <c r="AJ66" s="119" t="n">
        <v>400</v>
      </c>
      <c r="AK66" s="122" t="n">
        <f aca="false">Tabela54[[#This Row],[Kolumna34]]*12</f>
        <v>4800</v>
      </c>
      <c r="AL66" s="122" t="n">
        <f aca="false">Tabela54[[#This Row],[Kolumna32]]/4.2</f>
        <v>1142.85714285714</v>
      </c>
      <c r="AM66" s="119" t="n">
        <f aca="false">Tabela54[[#This Row],[Kolumna322]]*Tabela54[[#This Row],[Kolumna63]]</f>
        <v>685.714285714286</v>
      </c>
      <c r="AN66" s="122"/>
      <c r="AO66" s="122" t="n">
        <f aca="false">Tabela54[[#This Row],[Kolumna5]]*Tabela54[[#This Row],[Kolumna63]]</f>
        <v>0</v>
      </c>
      <c r="AP66" s="53" t="n">
        <v>0.6</v>
      </c>
      <c r="AQ66" s="29"/>
      <c r="AR66" s="29"/>
      <c r="AS66" s="29"/>
      <c r="AT66" s="29"/>
    </row>
    <row r="67" customFormat="false" ht="30" hidden="false" customHeight="true" outlineLevel="0" collapsed="false">
      <c r="A67" s="25" t="n">
        <v>60</v>
      </c>
      <c r="B67" s="27" t="s">
        <v>241</v>
      </c>
      <c r="C67" s="49" t="s">
        <v>247</v>
      </c>
      <c r="D67" s="134"/>
      <c r="E67" s="135" t="n">
        <v>90</v>
      </c>
      <c r="F6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203.705226666667</v>
      </c>
      <c r="G67" s="135"/>
      <c r="H67" s="130" t="n">
        <v>2</v>
      </c>
      <c r="I67" s="26" t="n">
        <f aca="false">Tabela43[[#This Row],[Kolumna5]]*20700*0.27778</f>
        <v>11500.092</v>
      </c>
      <c r="J67" s="130"/>
      <c r="K67" s="130"/>
      <c r="L67" s="28" t="n">
        <f aca="false">Tabela43[[#This Row],[Kolumna8]]*0.000843882*40190*0.27778</f>
        <v>0</v>
      </c>
      <c r="M67" s="130"/>
      <c r="N67" s="146" t="n">
        <f aca="false">Tabela43[[#This Row],[Kolumna84]]/2.55</f>
        <v>0</v>
      </c>
      <c r="O67" s="28" t="n">
        <f aca="false">Tabela43[[#This Row],[Kolumna82]]*35.94*0.27778</f>
        <v>0</v>
      </c>
      <c r="P67" s="130"/>
      <c r="Q67" s="130"/>
      <c r="R67" s="130" t="n">
        <v>2</v>
      </c>
      <c r="S67" s="116" t="n">
        <f aca="false">Tabela43[[#This Row],[Kolumna92]]*0.65</f>
        <v>1.3</v>
      </c>
      <c r="T67" s="28" t="n">
        <f aca="false">Tabela43[[#This Row],[Kolumna10]]*15600*0.27778</f>
        <v>5633.3784</v>
      </c>
      <c r="U67" s="130"/>
      <c r="V67" s="130"/>
      <c r="W67" s="130"/>
      <c r="X67" s="130" t="n">
        <v>100</v>
      </c>
      <c r="Y67" s="130" t="n">
        <f aca="false">Tabela43[[#This Row],[Kolumna1223]]*12</f>
        <v>1200</v>
      </c>
      <c r="Z67" s="28" t="n">
        <f aca="false">Tabela43[[#This Row],[Kolumna123]]/0.55</f>
        <v>2181.81818181818</v>
      </c>
      <c r="AA67" s="125"/>
      <c r="AB67" s="125"/>
      <c r="AC67" s="125" t="n">
        <f aca="false">Tabela54[[#This Row],[Kolumna22]]*12</f>
        <v>0</v>
      </c>
      <c r="AD67" s="122" t="n">
        <f aca="false">Tabela54[[#This Row],[Kolumna3]]/4.44</f>
        <v>0</v>
      </c>
      <c r="AE67" s="120" t="n">
        <f aca="false">Tabela54[[#This Row],[Kolumna23]]*Tabela54[[#This Row],[Kolumna63]]</f>
        <v>0</v>
      </c>
      <c r="AF67" s="120"/>
      <c r="AG67" s="122" t="n">
        <f aca="false">Tabela54[[#This Row],[Kolumna12]]*12</f>
        <v>0</v>
      </c>
      <c r="AH67" s="122" t="n">
        <f aca="false">Tabela54[[#This Row],[Kolumna222]]/1.59</f>
        <v>0</v>
      </c>
      <c r="AI67" s="119" t="n">
        <f aca="false">Tabela54[[#This Row],[Kolumna223]]*Tabela54[[#This Row],[Kolumna63]]</f>
        <v>0</v>
      </c>
      <c r="AJ67" s="119" t="n">
        <v>200</v>
      </c>
      <c r="AK67" s="122" t="n">
        <f aca="false">Tabela54[[#This Row],[Kolumna34]]*12</f>
        <v>2400</v>
      </c>
      <c r="AL67" s="122" t="n">
        <f aca="false">Tabela54[[#This Row],[Kolumna32]]/4.2</f>
        <v>571.428571428571</v>
      </c>
      <c r="AM67" s="119" t="n">
        <f aca="false">Tabela54[[#This Row],[Kolumna322]]*Tabela54[[#This Row],[Kolumna63]]</f>
        <v>114.285714285714</v>
      </c>
      <c r="AN67" s="122"/>
      <c r="AO67" s="122" t="n">
        <f aca="false">Tabela54[[#This Row],[Kolumna5]]*Tabela54[[#This Row],[Kolumna63]]</f>
        <v>0</v>
      </c>
      <c r="AP67" s="53" t="n">
        <v>0.2</v>
      </c>
      <c r="AQ67" s="29"/>
      <c r="AR67" s="29"/>
      <c r="AS67" s="29"/>
      <c r="AT67" s="29"/>
    </row>
    <row r="68" customFormat="false" ht="30" hidden="false" customHeight="true" outlineLevel="0" collapsed="false">
      <c r="A68" s="25" t="n">
        <v>61</v>
      </c>
      <c r="B68" s="27" t="s">
        <v>241</v>
      </c>
      <c r="C68" s="49" t="s">
        <v>247</v>
      </c>
      <c r="D68" s="134"/>
      <c r="E68" s="135" t="n">
        <v>80</v>
      </c>
      <c r="F6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379.08615</v>
      </c>
      <c r="G68" s="135"/>
      <c r="H68" s="130"/>
      <c r="I68" s="26" t="n">
        <f aca="false">Tabela43[[#This Row],[Kolumna5]]*20700*0.27778</f>
        <v>0</v>
      </c>
      <c r="J68" s="130"/>
      <c r="K68" s="130"/>
      <c r="L68" s="28" t="n">
        <f aca="false">Tabela43[[#This Row],[Kolumna8]]*0.000843882*40190*0.27778</f>
        <v>0</v>
      </c>
      <c r="M68" s="130"/>
      <c r="N68" s="146" t="n">
        <f aca="false">Tabela43[[#This Row],[Kolumna84]]/2.55</f>
        <v>0</v>
      </c>
      <c r="O68" s="28" t="n">
        <f aca="false">Tabela43[[#This Row],[Kolumna82]]*35.94*0.27778</f>
        <v>0</v>
      </c>
      <c r="P68" s="130"/>
      <c r="Q68" s="130"/>
      <c r="R68" s="130" t="n">
        <v>10</v>
      </c>
      <c r="S68" s="116" t="n">
        <f aca="false">Tabela43[[#This Row],[Kolumna92]]*0.65</f>
        <v>6.5</v>
      </c>
      <c r="T68" s="28" t="n">
        <f aca="false">Tabela43[[#This Row],[Kolumna10]]*15600*0.27778</f>
        <v>28166.892</v>
      </c>
      <c r="U68" s="130"/>
      <c r="V68" s="130"/>
      <c r="W68" s="130"/>
      <c r="X68" s="130" t="n">
        <v>180</v>
      </c>
      <c r="Y68" s="130" t="n">
        <f aca="false">Tabela43[[#This Row],[Kolumna1223]]*12</f>
        <v>2160</v>
      </c>
      <c r="Z68" s="28" t="n">
        <f aca="false">Tabela43[[#This Row],[Kolumna123]]/0.55</f>
        <v>3927.27272727273</v>
      </c>
      <c r="AA68" s="125"/>
      <c r="AB68" s="125" t="n">
        <v>200</v>
      </c>
      <c r="AC68" s="125" t="n">
        <f aca="false">Tabela54[[#This Row],[Kolumna22]]*12</f>
        <v>2400</v>
      </c>
      <c r="AD68" s="122" t="n">
        <f aca="false">Tabela54[[#This Row],[Kolumna3]]/4.44</f>
        <v>540.540540540541</v>
      </c>
      <c r="AE68" s="120" t="n">
        <f aca="false">Tabela54[[#This Row],[Kolumna23]]*Tabela54[[#This Row],[Kolumna63]]</f>
        <v>54.0540540540541</v>
      </c>
      <c r="AF68" s="120" t="n">
        <v>100</v>
      </c>
      <c r="AG68" s="122" t="n">
        <f aca="false">Tabela54[[#This Row],[Kolumna12]]*12</f>
        <v>1200</v>
      </c>
      <c r="AH68" s="122" t="n">
        <f aca="false">Tabela54[[#This Row],[Kolumna222]]/1.59</f>
        <v>754.716981132076</v>
      </c>
      <c r="AI68" s="119" t="n">
        <f aca="false">Tabela54[[#This Row],[Kolumna223]]*Tabela54[[#This Row],[Kolumna63]]</f>
        <v>75.4716981132076</v>
      </c>
      <c r="AJ68" s="119"/>
      <c r="AK68" s="122" t="n">
        <f aca="false">Tabela54[[#This Row],[Kolumna34]]*12</f>
        <v>0</v>
      </c>
      <c r="AL68" s="122" t="n">
        <f aca="false">Tabela54[[#This Row],[Kolumna32]]/4.2</f>
        <v>0</v>
      </c>
      <c r="AM68" s="119" t="n">
        <f aca="false">Tabela54[[#This Row],[Kolumna322]]*Tabela54[[#This Row],[Kolumna63]]</f>
        <v>0</v>
      </c>
      <c r="AN68" s="122"/>
      <c r="AO68" s="122" t="n">
        <f aca="false">Tabela54[[#This Row],[Kolumna5]]*Tabela54[[#This Row],[Kolumna63]]</f>
        <v>0</v>
      </c>
      <c r="AP68" s="53" t="n">
        <v>0.1</v>
      </c>
      <c r="AQ68" s="29"/>
      <c r="AR68" s="29"/>
      <c r="AS68" s="29"/>
      <c r="AT68" s="29"/>
    </row>
    <row r="69" customFormat="false" ht="30" hidden="false" customHeight="true" outlineLevel="0" collapsed="false">
      <c r="A69" s="40" t="n">
        <v>62</v>
      </c>
      <c r="B69" s="27" t="s">
        <v>241</v>
      </c>
      <c r="C69" s="49" t="s">
        <v>247</v>
      </c>
      <c r="D69" s="134"/>
      <c r="E69" s="135" t="n">
        <v>150</v>
      </c>
      <c r="F6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206.090416</v>
      </c>
      <c r="G69" s="135"/>
      <c r="H69" s="130" t="n">
        <v>4</v>
      </c>
      <c r="I69" s="26" t="n">
        <f aca="false">Tabela43[[#This Row],[Kolumna5]]*20700*0.27778</f>
        <v>23000.184</v>
      </c>
      <c r="J69" s="130"/>
      <c r="K69" s="130"/>
      <c r="L69" s="28" t="n">
        <f aca="false">Tabela43[[#This Row],[Kolumna8]]*0.000843882*40190*0.27778</f>
        <v>0</v>
      </c>
      <c r="M69" s="130"/>
      <c r="N69" s="146" t="n">
        <f aca="false">Tabela43[[#This Row],[Kolumna84]]/2.55</f>
        <v>0</v>
      </c>
      <c r="O69" s="28" t="n">
        <f aca="false">Tabela43[[#This Row],[Kolumna82]]*35.94*0.27778</f>
        <v>0</v>
      </c>
      <c r="P69" s="130"/>
      <c r="Q69" s="130"/>
      <c r="R69" s="130" t="n">
        <v>2</v>
      </c>
      <c r="S69" s="116" t="n">
        <f aca="false">Tabela43[[#This Row],[Kolumna92]]*0.65</f>
        <v>1.3</v>
      </c>
      <c r="T69" s="28" t="n">
        <f aca="false">Tabela43[[#This Row],[Kolumna10]]*15600*0.27778</f>
        <v>5633.3784</v>
      </c>
      <c r="U69" s="130"/>
      <c r="V69" s="130"/>
      <c r="W69" s="130"/>
      <c r="X69" s="130" t="n">
        <v>190</v>
      </c>
      <c r="Y69" s="130" t="n">
        <f aca="false">Tabela43[[#This Row],[Kolumna1223]]*12</f>
        <v>2280</v>
      </c>
      <c r="Z69" s="28" t="n">
        <f aca="false">Tabela43[[#This Row],[Kolumna123]]/0.55</f>
        <v>4145.45454545454</v>
      </c>
      <c r="AA69" s="125"/>
      <c r="AB69" s="125" t="n">
        <v>300</v>
      </c>
      <c r="AC69" s="125" t="n">
        <f aca="false">Tabela54[[#This Row],[Kolumna22]]*12</f>
        <v>3600</v>
      </c>
      <c r="AD69" s="122" t="n">
        <f aca="false">Tabela54[[#This Row],[Kolumna3]]/4.44</f>
        <v>810.810810810811</v>
      </c>
      <c r="AE69" s="120" t="n">
        <f aca="false">Tabela54[[#This Row],[Kolumna23]]*Tabela54[[#This Row],[Kolumna63]]</f>
        <v>324.324324324324</v>
      </c>
      <c r="AF69" s="120"/>
      <c r="AG69" s="122" t="n">
        <f aca="false">Tabela54[[#This Row],[Kolumna12]]*12</f>
        <v>0</v>
      </c>
      <c r="AH69" s="122" t="n">
        <f aca="false">Tabela54[[#This Row],[Kolumna222]]/1.59</f>
        <v>0</v>
      </c>
      <c r="AI69" s="119" t="n">
        <f aca="false">Tabela54[[#This Row],[Kolumna223]]*Tabela54[[#This Row],[Kolumna63]]</f>
        <v>0</v>
      </c>
      <c r="AJ69" s="119"/>
      <c r="AK69" s="122" t="n">
        <f aca="false">Tabela54[[#This Row],[Kolumna34]]*12</f>
        <v>0</v>
      </c>
      <c r="AL69" s="122" t="n">
        <f aca="false">Tabela54[[#This Row],[Kolumna32]]/4.2</f>
        <v>0</v>
      </c>
      <c r="AM69" s="119" t="n">
        <f aca="false">Tabela54[[#This Row],[Kolumna322]]*Tabela54[[#This Row],[Kolumna63]]</f>
        <v>0</v>
      </c>
      <c r="AN69" s="122"/>
      <c r="AO69" s="122" t="n">
        <f aca="false">Tabela54[[#This Row],[Kolumna5]]*Tabela54[[#This Row],[Kolumna63]]</f>
        <v>0</v>
      </c>
      <c r="AP69" s="53" t="n">
        <v>0.4</v>
      </c>
      <c r="AQ69" s="29"/>
      <c r="AR69" s="29"/>
      <c r="AS69" s="29"/>
      <c r="AT69" s="147"/>
    </row>
    <row r="70" customFormat="false" ht="30" hidden="false" customHeight="true" outlineLevel="0" collapsed="false">
      <c r="A70" s="25" t="n">
        <v>63</v>
      </c>
      <c r="B70" s="27" t="s">
        <v>241</v>
      </c>
      <c r="C70" s="49" t="s">
        <v>247</v>
      </c>
      <c r="D70" s="134"/>
      <c r="E70" s="135" t="n">
        <v>120</v>
      </c>
      <c r="F7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250.7241</v>
      </c>
      <c r="G70" s="135"/>
      <c r="H70" s="130"/>
      <c r="I70" s="26" t="n">
        <f aca="false">Tabela43[[#This Row],[Kolumna5]]*20700*0.27778</f>
        <v>0</v>
      </c>
      <c r="J70" s="130"/>
      <c r="K70" s="130"/>
      <c r="L70" s="28" t="n">
        <f aca="false">Tabela43[[#This Row],[Kolumna8]]*0.000843882*40190*0.27778</f>
        <v>0</v>
      </c>
      <c r="M70" s="130"/>
      <c r="N70" s="146" t="n">
        <f aca="false">Tabela43[[#This Row],[Kolumna84]]/2.55</f>
        <v>0</v>
      </c>
      <c r="O70" s="28" t="n">
        <f aca="false">Tabela43[[#This Row],[Kolumna82]]*35.94*0.27778</f>
        <v>0</v>
      </c>
      <c r="P70" s="130"/>
      <c r="Q70" s="130"/>
      <c r="R70" s="130" t="n">
        <v>10</v>
      </c>
      <c r="S70" s="116" t="n">
        <f aca="false">Tabela43[[#This Row],[Kolumna92]]*0.65</f>
        <v>6.5</v>
      </c>
      <c r="T70" s="28" t="n">
        <f aca="false">Tabela43[[#This Row],[Kolumna10]]*15600*0.27778</f>
        <v>28166.892</v>
      </c>
      <c r="U70" s="130"/>
      <c r="V70" s="130"/>
      <c r="W70" s="130"/>
      <c r="X70" s="130" t="n">
        <v>160</v>
      </c>
      <c r="Y70" s="130" t="n">
        <f aca="false">Tabela43[[#This Row],[Kolumna1223]]*12</f>
        <v>1920</v>
      </c>
      <c r="Z70" s="28" t="n">
        <f aca="false">Tabela43[[#This Row],[Kolumna123]]/0.55</f>
        <v>3490.90909090909</v>
      </c>
      <c r="AA70" s="125"/>
      <c r="AB70" s="125"/>
      <c r="AC70" s="125" t="n">
        <f aca="false">Tabela54[[#This Row],[Kolumna22]]*12</f>
        <v>0</v>
      </c>
      <c r="AD70" s="122" t="n">
        <f aca="false">Tabela54[[#This Row],[Kolumna3]]/4.44</f>
        <v>0</v>
      </c>
      <c r="AE70" s="120" t="n">
        <f aca="false">Tabela54[[#This Row],[Kolumna23]]*Tabela54[[#This Row],[Kolumna63]]</f>
        <v>0</v>
      </c>
      <c r="AF70" s="120"/>
      <c r="AG70" s="122" t="n">
        <f aca="false">Tabela54[[#This Row],[Kolumna12]]*12</f>
        <v>0</v>
      </c>
      <c r="AH70" s="122" t="n">
        <f aca="false">Tabela54[[#This Row],[Kolumna222]]/1.59</f>
        <v>0</v>
      </c>
      <c r="AI70" s="119" t="n">
        <f aca="false">Tabela54[[#This Row],[Kolumna223]]*Tabela54[[#This Row],[Kolumna63]]</f>
        <v>0</v>
      </c>
      <c r="AJ70" s="119" t="n">
        <v>300</v>
      </c>
      <c r="AK70" s="122" t="n">
        <f aca="false">Tabela54[[#This Row],[Kolumna34]]*12</f>
        <v>3600</v>
      </c>
      <c r="AL70" s="122" t="n">
        <f aca="false">Tabela54[[#This Row],[Kolumna32]]/4.2</f>
        <v>857.142857142857</v>
      </c>
      <c r="AM70" s="119" t="n">
        <f aca="false">Tabela54[[#This Row],[Kolumna322]]*Tabela54[[#This Row],[Kolumna63]]</f>
        <v>257.142857142857</v>
      </c>
      <c r="AN70" s="122"/>
      <c r="AO70" s="122" t="n">
        <f aca="false">Tabela54[[#This Row],[Kolumna5]]*Tabela54[[#This Row],[Kolumna63]]</f>
        <v>0</v>
      </c>
      <c r="AP70" s="53" t="n">
        <v>0.3</v>
      </c>
      <c r="AQ70" s="29"/>
      <c r="AR70" s="29"/>
      <c r="AS70" s="29"/>
      <c r="AT70" s="29"/>
    </row>
    <row r="71" customFormat="false" ht="30" hidden="false" customHeight="true" outlineLevel="0" collapsed="false">
      <c r="A71" s="25" t="n">
        <v>64</v>
      </c>
      <c r="B71" s="27" t="s">
        <v>241</v>
      </c>
      <c r="C71" s="49" t="s">
        <v>247</v>
      </c>
      <c r="D71" s="134"/>
      <c r="E71" s="135" t="n">
        <v>120</v>
      </c>
      <c r="F7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250.61302</v>
      </c>
      <c r="G71" s="135"/>
      <c r="H71" s="130" t="n">
        <v>4</v>
      </c>
      <c r="I71" s="26" t="n">
        <f aca="false">Tabela43[[#This Row],[Kolumna5]]*20700*0.27778</f>
        <v>23000.184</v>
      </c>
      <c r="J71" s="130"/>
      <c r="K71" s="130"/>
      <c r="L71" s="28" t="n">
        <f aca="false">Tabela43[[#This Row],[Kolumna8]]*0.000843882*40190*0.27778</f>
        <v>0</v>
      </c>
      <c r="M71" s="128"/>
      <c r="N71" s="146" t="n">
        <f aca="false">Tabela43[[#This Row],[Kolumna84]]/2.55</f>
        <v>0</v>
      </c>
      <c r="O71" s="28" t="n">
        <f aca="false">Tabela43[[#This Row],[Kolumna82]]*35.94*0.27778</f>
        <v>0</v>
      </c>
      <c r="P71" s="130"/>
      <c r="Q71" s="130"/>
      <c r="R71" s="130" t="n">
        <v>2</v>
      </c>
      <c r="S71" s="116" t="n">
        <f aca="false">Tabela43[[#This Row],[Kolumna92]]*0.65</f>
        <v>1.3</v>
      </c>
      <c r="T71" s="28" t="n">
        <f aca="false">Tabela43[[#This Row],[Kolumna10]]*15600*0.27778</f>
        <v>5633.3784</v>
      </c>
      <c r="U71" s="130"/>
      <c r="V71" s="130"/>
      <c r="W71" s="130"/>
      <c r="X71" s="130" t="n">
        <v>120</v>
      </c>
      <c r="Y71" s="130" t="n">
        <f aca="false">Tabela43[[#This Row],[Kolumna1223]]*12</f>
        <v>1440</v>
      </c>
      <c r="Z71" s="28" t="n">
        <f aca="false">Tabela43[[#This Row],[Kolumna123]]/0.55</f>
        <v>2618.18181818182</v>
      </c>
      <c r="AA71" s="125"/>
      <c r="AB71" s="125" t="n">
        <v>200</v>
      </c>
      <c r="AC71" s="125" t="n">
        <f aca="false">Tabela54[[#This Row],[Kolumna22]]*12</f>
        <v>2400</v>
      </c>
      <c r="AD71" s="122" t="n">
        <f aca="false">Tabela54[[#This Row],[Kolumna3]]/4.44</f>
        <v>540.540540540541</v>
      </c>
      <c r="AE71" s="120" t="n">
        <f aca="false">Tabela54[[#This Row],[Kolumna23]]*Tabela54[[#This Row],[Kolumna63]]</f>
        <v>54.0540540540541</v>
      </c>
      <c r="AF71" s="120"/>
      <c r="AG71" s="122" t="n">
        <f aca="false">Tabela54[[#This Row],[Kolumna12]]*12</f>
        <v>0</v>
      </c>
      <c r="AH71" s="122" t="n">
        <f aca="false">Tabela54[[#This Row],[Kolumna222]]/1.59</f>
        <v>0</v>
      </c>
      <c r="AI71" s="119" t="n">
        <f aca="false">Tabela54[[#This Row],[Kolumna223]]*Tabela54[[#This Row],[Kolumna63]]</f>
        <v>0</v>
      </c>
      <c r="AJ71" s="119"/>
      <c r="AK71" s="122" t="n">
        <f aca="false">Tabela54[[#This Row],[Kolumna34]]*12</f>
        <v>0</v>
      </c>
      <c r="AL71" s="122" t="n">
        <f aca="false">Tabela54[[#This Row],[Kolumna32]]/4.2</f>
        <v>0</v>
      </c>
      <c r="AM71" s="119" t="n">
        <f aca="false">Tabela54[[#This Row],[Kolumna322]]*Tabela54[[#This Row],[Kolumna63]]</f>
        <v>0</v>
      </c>
      <c r="AN71" s="122"/>
      <c r="AO71" s="122" t="n">
        <f aca="false">Tabela54[[#This Row],[Kolumna5]]*Tabela54[[#This Row],[Kolumna63]]</f>
        <v>0</v>
      </c>
      <c r="AP71" s="53" t="n">
        <v>0.1</v>
      </c>
      <c r="AQ71" s="29"/>
      <c r="AR71" s="29"/>
      <c r="AS71" s="29"/>
      <c r="AT71" s="29"/>
    </row>
    <row r="72" customFormat="false" ht="30" hidden="false" customHeight="true" outlineLevel="0" collapsed="false">
      <c r="A72" s="40" t="n">
        <v>65</v>
      </c>
      <c r="B72" s="27" t="s">
        <v>241</v>
      </c>
      <c r="C72" s="49" t="s">
        <v>247</v>
      </c>
      <c r="D72" s="134"/>
      <c r="E72" s="135" t="n">
        <v>120</v>
      </c>
      <c r="F7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211.7532</v>
      </c>
      <c r="G72" s="135"/>
      <c r="H72" s="130"/>
      <c r="I72" s="26" t="n">
        <f aca="false">Tabela43[[#This Row],[Kolumna5]]*20700*0.27778</f>
        <v>0</v>
      </c>
      <c r="J72" s="130"/>
      <c r="K72" s="130"/>
      <c r="L72" s="28" t="n">
        <f aca="false">Tabela43[[#This Row],[Kolumna8]]*0.000843882*40190*0.27778</f>
        <v>0</v>
      </c>
      <c r="M72" s="115" t="n">
        <f aca="false">500*12</f>
        <v>6000</v>
      </c>
      <c r="N72" s="146" t="n">
        <f aca="false">Tabela43[[#This Row],[Kolumna84]]/2.55</f>
        <v>2352.94117647059</v>
      </c>
      <c r="O72" s="28" t="n">
        <f aca="false">Tabela43[[#This Row],[Kolumna82]]*35.94*0.27778</f>
        <v>23490.384</v>
      </c>
      <c r="P72" s="130"/>
      <c r="Q72" s="130"/>
      <c r="R72" s="130"/>
      <c r="S72" s="116" t="n">
        <f aca="false">Tabela43[[#This Row],[Kolumna92]]*0.65</f>
        <v>0</v>
      </c>
      <c r="T72" s="28" t="n">
        <f aca="false">Tabela43[[#This Row],[Kolumna10]]*15600*0.27778</f>
        <v>0</v>
      </c>
      <c r="U72" s="130"/>
      <c r="V72" s="130"/>
      <c r="W72" s="130"/>
      <c r="X72" s="130" t="n">
        <v>160</v>
      </c>
      <c r="Y72" s="130" t="n">
        <f aca="false">Tabela43[[#This Row],[Kolumna1223]]*12</f>
        <v>1920</v>
      </c>
      <c r="Z72" s="28" t="n">
        <f aca="false">Tabela43[[#This Row],[Kolumna123]]/0.55</f>
        <v>3490.90909090909</v>
      </c>
      <c r="AA72" s="125"/>
      <c r="AB72" s="125"/>
      <c r="AC72" s="125" t="n">
        <f aca="false">Tabela54[[#This Row],[Kolumna22]]*12</f>
        <v>0</v>
      </c>
      <c r="AD72" s="122" t="n">
        <f aca="false">Tabela54[[#This Row],[Kolumna3]]/4.44</f>
        <v>0</v>
      </c>
      <c r="AE72" s="120" t="n">
        <f aca="false">Tabela54[[#This Row],[Kolumna23]]*Tabela54[[#This Row],[Kolumna63]]</f>
        <v>0</v>
      </c>
      <c r="AF72" s="120"/>
      <c r="AG72" s="122" t="n">
        <f aca="false">Tabela54[[#This Row],[Kolumna12]]*12</f>
        <v>0</v>
      </c>
      <c r="AH72" s="122" t="n">
        <f aca="false">Tabela54[[#This Row],[Kolumna222]]/1.59</f>
        <v>0</v>
      </c>
      <c r="AI72" s="119" t="n">
        <f aca="false">Tabela54[[#This Row],[Kolumna223]]*Tabela54[[#This Row],[Kolumna63]]</f>
        <v>0</v>
      </c>
      <c r="AJ72" s="119" t="n">
        <v>400</v>
      </c>
      <c r="AK72" s="122" t="n">
        <f aca="false">Tabela54[[#This Row],[Kolumna34]]*12</f>
        <v>4800</v>
      </c>
      <c r="AL72" s="122" t="n">
        <f aca="false">Tabela54[[#This Row],[Kolumna32]]/4.2</f>
        <v>1142.85714285714</v>
      </c>
      <c r="AM72" s="119" t="n">
        <f aca="false">Tabela54[[#This Row],[Kolumna322]]*Tabela54[[#This Row],[Kolumna63]]</f>
        <v>571.428571428571</v>
      </c>
      <c r="AN72" s="122"/>
      <c r="AO72" s="122" t="n">
        <f aca="false">Tabela54[[#This Row],[Kolumna5]]*Tabela54[[#This Row],[Kolumna63]]</f>
        <v>0</v>
      </c>
      <c r="AP72" s="53" t="n">
        <v>0.5</v>
      </c>
      <c r="AQ72" s="29"/>
      <c r="AR72" s="29"/>
      <c r="AS72" s="29"/>
      <c r="AT72" s="29"/>
    </row>
    <row r="73" customFormat="false" ht="30" hidden="false" customHeight="true" outlineLevel="0" collapsed="false">
      <c r="A73" s="25" t="n">
        <v>66</v>
      </c>
      <c r="B73" s="27" t="s">
        <v>241</v>
      </c>
      <c r="C73" s="49" t="s">
        <v>247</v>
      </c>
      <c r="D73" s="134"/>
      <c r="E73" s="135" t="n">
        <v>150</v>
      </c>
      <c r="F7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263.657524</v>
      </c>
      <c r="G73" s="135"/>
      <c r="H73" s="130" t="n">
        <v>2.5</v>
      </c>
      <c r="I73" s="26" t="n">
        <f aca="false">Tabela43[[#This Row],[Kolumna5]]*20700*0.27778</f>
        <v>14375.115</v>
      </c>
      <c r="J73" s="130"/>
      <c r="K73" s="130"/>
      <c r="L73" s="28" t="n">
        <f aca="false">Tabela43[[#This Row],[Kolumna8]]*0.000843882*40190*0.27778</f>
        <v>0</v>
      </c>
      <c r="M73" s="128"/>
      <c r="N73" s="146" t="n">
        <f aca="false">Tabela43[[#This Row],[Kolumna84]]/2.55</f>
        <v>0</v>
      </c>
      <c r="O73" s="28" t="n">
        <f aca="false">Tabela43[[#This Row],[Kolumna82]]*35.94*0.27778</f>
        <v>0</v>
      </c>
      <c r="P73" s="130"/>
      <c r="Q73" s="130"/>
      <c r="R73" s="130" t="n">
        <v>8</v>
      </c>
      <c r="S73" s="116" t="n">
        <f aca="false">Tabela43[[#This Row],[Kolumna92]]*0.65</f>
        <v>5.2</v>
      </c>
      <c r="T73" s="28" t="n">
        <f aca="false">Tabela43[[#This Row],[Kolumna10]]*15600*0.27778</f>
        <v>22533.5136</v>
      </c>
      <c r="U73" s="130"/>
      <c r="V73" s="130"/>
      <c r="W73" s="130"/>
      <c r="X73" s="130" t="n">
        <v>220</v>
      </c>
      <c r="Y73" s="130" t="n">
        <f aca="false">Tabela43[[#This Row],[Kolumna1223]]*12</f>
        <v>2640</v>
      </c>
      <c r="Z73" s="28" t="n">
        <f aca="false">Tabela43[[#This Row],[Kolumna123]]/0.55</f>
        <v>4800</v>
      </c>
      <c r="AA73" s="125"/>
      <c r="AB73" s="125"/>
      <c r="AC73" s="125" t="n">
        <f aca="false">Tabela54[[#This Row],[Kolumna22]]*12</f>
        <v>0</v>
      </c>
      <c r="AD73" s="122" t="n">
        <f aca="false">Tabela54[[#This Row],[Kolumna3]]/4.44</f>
        <v>0</v>
      </c>
      <c r="AE73" s="120" t="n">
        <f aca="false">Tabela54[[#This Row],[Kolumna23]]*Tabela54[[#This Row],[Kolumna63]]</f>
        <v>0</v>
      </c>
      <c r="AF73" s="120"/>
      <c r="AG73" s="122" t="n">
        <f aca="false">Tabela54[[#This Row],[Kolumna12]]*12</f>
        <v>0</v>
      </c>
      <c r="AH73" s="122" t="n">
        <f aca="false">Tabela54[[#This Row],[Kolumna222]]/1.59</f>
        <v>0</v>
      </c>
      <c r="AI73" s="119" t="n">
        <f aca="false">Tabela54[[#This Row],[Kolumna223]]*Tabela54[[#This Row],[Kolumna63]]</f>
        <v>0</v>
      </c>
      <c r="AJ73" s="119" t="n">
        <v>400</v>
      </c>
      <c r="AK73" s="122" t="n">
        <f aca="false">Tabela54[[#This Row],[Kolumna34]]*12</f>
        <v>4800</v>
      </c>
      <c r="AL73" s="122" t="n">
        <f aca="false">Tabela54[[#This Row],[Kolumna32]]/4.2</f>
        <v>1142.85714285714</v>
      </c>
      <c r="AM73" s="119" t="n">
        <f aca="false">Tabela54[[#This Row],[Kolumna322]]*Tabela54[[#This Row],[Kolumna63]]</f>
        <v>571.428571428571</v>
      </c>
      <c r="AN73" s="122"/>
      <c r="AO73" s="122" t="n">
        <f aca="false">Tabela54[[#This Row],[Kolumna5]]*Tabela54[[#This Row],[Kolumna63]]</f>
        <v>0</v>
      </c>
      <c r="AP73" s="53" t="n">
        <v>0.5</v>
      </c>
      <c r="AQ73" s="29"/>
      <c r="AR73" s="29"/>
      <c r="AS73" s="29"/>
      <c r="AT73" s="29"/>
    </row>
    <row r="74" customFormat="false" ht="30" hidden="false" customHeight="true" outlineLevel="0" collapsed="false">
      <c r="A74" s="25" t="n">
        <v>67</v>
      </c>
      <c r="B74" s="27" t="s">
        <v>241</v>
      </c>
      <c r="C74" s="49" t="s">
        <v>247</v>
      </c>
      <c r="D74" s="134"/>
      <c r="E74" s="135" t="n">
        <v>100</v>
      </c>
      <c r="F7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466.1703</v>
      </c>
      <c r="G74" s="135"/>
      <c r="H74" s="130" t="n">
        <v>3</v>
      </c>
      <c r="I74" s="26" t="n">
        <f aca="false">Tabela43[[#This Row],[Kolumna5]]*20700*0.27778</f>
        <v>17250.138</v>
      </c>
      <c r="J74" s="130"/>
      <c r="K74" s="130"/>
      <c r="L74" s="28" t="n">
        <f aca="false">Tabela43[[#This Row],[Kolumna8]]*0.000843882*40190*0.27778</f>
        <v>0</v>
      </c>
      <c r="M74" s="128"/>
      <c r="N74" s="146" t="n">
        <f aca="false">Tabela43[[#This Row],[Kolumna84]]/2.55</f>
        <v>0</v>
      </c>
      <c r="O74" s="28" t="n">
        <f aca="false">Tabela43[[#This Row],[Kolumna82]]*35.94*0.27778</f>
        <v>0</v>
      </c>
      <c r="P74" s="130"/>
      <c r="Q74" s="130"/>
      <c r="R74" s="130" t="n">
        <v>10</v>
      </c>
      <c r="S74" s="116" t="n">
        <f aca="false">Tabela43[[#This Row],[Kolumna92]]*0.65</f>
        <v>6.5</v>
      </c>
      <c r="T74" s="28" t="n">
        <f aca="false">Tabela43[[#This Row],[Kolumna10]]*15600*0.27778</f>
        <v>28166.892</v>
      </c>
      <c r="U74" s="130"/>
      <c r="V74" s="130"/>
      <c r="W74" s="130"/>
      <c r="X74" s="130" t="n">
        <v>100</v>
      </c>
      <c r="Y74" s="130" t="n">
        <f aca="false">Tabela43[[#This Row],[Kolumna1223]]*12</f>
        <v>1200</v>
      </c>
      <c r="Z74" s="28" t="n">
        <f aca="false">Tabela43[[#This Row],[Kolumna123]]/0.55</f>
        <v>2181.81818181818</v>
      </c>
      <c r="AA74" s="125"/>
      <c r="AB74" s="125" t="n">
        <v>100</v>
      </c>
      <c r="AC74" s="125" t="n">
        <f aca="false">Tabela54[[#This Row],[Kolumna22]]*12</f>
        <v>1200</v>
      </c>
      <c r="AD74" s="122" t="n">
        <f aca="false">Tabela54[[#This Row],[Kolumna3]]/4.44</f>
        <v>270.27027027027</v>
      </c>
      <c r="AE74" s="120" t="n">
        <f aca="false">Tabela54[[#This Row],[Kolumna23]]*Tabela54[[#This Row],[Kolumna63]]</f>
        <v>162.162162162162</v>
      </c>
      <c r="AF74" s="120" t="n">
        <v>200</v>
      </c>
      <c r="AG74" s="122" t="n">
        <f aca="false">Tabela54[[#This Row],[Kolumna12]]*12</f>
        <v>2400</v>
      </c>
      <c r="AH74" s="122" t="n">
        <f aca="false">Tabela54[[#This Row],[Kolumna222]]/1.59</f>
        <v>1509.43396226415</v>
      </c>
      <c r="AI74" s="119" t="n">
        <f aca="false">Tabela54[[#This Row],[Kolumna223]]*Tabela54[[#This Row],[Kolumna63]]</f>
        <v>905.660377358491</v>
      </c>
      <c r="AJ74" s="119"/>
      <c r="AK74" s="122" t="n">
        <f aca="false">Tabela54[[#This Row],[Kolumna34]]*12</f>
        <v>0</v>
      </c>
      <c r="AL74" s="122" t="n">
        <f aca="false">Tabela54[[#This Row],[Kolumna32]]/4.2</f>
        <v>0</v>
      </c>
      <c r="AM74" s="119" t="n">
        <f aca="false">Tabela54[[#This Row],[Kolumna322]]*Tabela54[[#This Row],[Kolumna63]]</f>
        <v>0</v>
      </c>
      <c r="AN74" s="122"/>
      <c r="AO74" s="122" t="n">
        <f aca="false">Tabela54[[#This Row],[Kolumna5]]*Tabela54[[#This Row],[Kolumna63]]</f>
        <v>0</v>
      </c>
      <c r="AP74" s="53" t="n">
        <v>0.6</v>
      </c>
      <c r="AQ74" s="29"/>
      <c r="AR74" s="29"/>
      <c r="AS74" s="29"/>
      <c r="AT74" s="29"/>
    </row>
    <row r="75" customFormat="false" ht="30" hidden="false" customHeight="true" outlineLevel="0" collapsed="false">
      <c r="A75" s="40" t="n">
        <v>68</v>
      </c>
      <c r="B75" s="27" t="s">
        <v>241</v>
      </c>
      <c r="C75" s="49" t="s">
        <v>247</v>
      </c>
      <c r="D75" s="134"/>
      <c r="E75" s="135" t="n">
        <v>120</v>
      </c>
      <c r="F7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251.66856</v>
      </c>
      <c r="G75" s="135"/>
      <c r="H75" s="130" t="n">
        <v>2</v>
      </c>
      <c r="I75" s="26" t="n">
        <f aca="false">Tabela43[[#This Row],[Kolumna5]]*20700*0.27778</f>
        <v>11500.092</v>
      </c>
      <c r="J75" s="130"/>
      <c r="K75" s="130"/>
      <c r="L75" s="28" t="n">
        <f aca="false">Tabela43[[#This Row],[Kolumna8]]*0.000843882*40190*0.27778</f>
        <v>0</v>
      </c>
      <c r="M75" s="130"/>
      <c r="N75" s="146" t="n">
        <f aca="false">Tabela43[[#This Row],[Kolumna84]]/2.55</f>
        <v>0</v>
      </c>
      <c r="O75" s="28" t="n">
        <f aca="false">Tabela43[[#This Row],[Kolumna82]]*35.94*0.27778</f>
        <v>0</v>
      </c>
      <c r="P75" s="130"/>
      <c r="Q75" s="130"/>
      <c r="R75" s="130" t="n">
        <v>6</v>
      </c>
      <c r="S75" s="116" t="n">
        <f aca="false">Tabela43[[#This Row],[Kolumna92]]*0.65</f>
        <v>3.9</v>
      </c>
      <c r="T75" s="28" t="n">
        <f aca="false">Tabela43[[#This Row],[Kolumna10]]*15600*0.27778</f>
        <v>16900.1352</v>
      </c>
      <c r="U75" s="130"/>
      <c r="V75" s="130"/>
      <c r="W75" s="130"/>
      <c r="X75" s="130" t="n">
        <v>150</v>
      </c>
      <c r="Y75" s="130" t="n">
        <f aca="false">Tabela43[[#This Row],[Kolumna1223]]*12</f>
        <v>1800</v>
      </c>
      <c r="Z75" s="28" t="n">
        <f aca="false">Tabela43[[#This Row],[Kolumna123]]/0.55</f>
        <v>3272.72727272727</v>
      </c>
      <c r="AA75" s="125"/>
      <c r="AB75" s="125"/>
      <c r="AC75" s="125" t="n">
        <f aca="false">Tabela54[[#This Row],[Kolumna22]]*12</f>
        <v>0</v>
      </c>
      <c r="AD75" s="122" t="n">
        <f aca="false">Tabela54[[#This Row],[Kolumna3]]/4.44</f>
        <v>0</v>
      </c>
      <c r="AE75" s="120" t="n">
        <f aca="false">Tabela54[[#This Row],[Kolumna23]]*Tabela54[[#This Row],[Kolumna63]]</f>
        <v>0</v>
      </c>
      <c r="AF75" s="120"/>
      <c r="AG75" s="122" t="n">
        <f aca="false">Tabela54[[#This Row],[Kolumna12]]*12</f>
        <v>0</v>
      </c>
      <c r="AH75" s="122" t="n">
        <f aca="false">Tabela54[[#This Row],[Kolumna222]]/1.59</f>
        <v>0</v>
      </c>
      <c r="AI75" s="119" t="n">
        <f aca="false">Tabela54[[#This Row],[Kolumna223]]*Tabela54[[#This Row],[Kolumna63]]</f>
        <v>0</v>
      </c>
      <c r="AJ75" s="119" t="n">
        <v>400</v>
      </c>
      <c r="AK75" s="122" t="n">
        <f aca="false">Tabela54[[#This Row],[Kolumna34]]*12</f>
        <v>4800</v>
      </c>
      <c r="AL75" s="122" t="n">
        <f aca="false">Tabela54[[#This Row],[Kolumna32]]/4.2</f>
        <v>1142.85714285714</v>
      </c>
      <c r="AM75" s="119" t="n">
        <f aca="false">Tabela54[[#This Row],[Kolumna322]]*Tabela54[[#This Row],[Kolumna63]]</f>
        <v>457.142857142857</v>
      </c>
      <c r="AN75" s="122"/>
      <c r="AO75" s="122" t="n">
        <f aca="false">Tabela54[[#This Row],[Kolumna5]]*Tabela54[[#This Row],[Kolumna63]]</f>
        <v>0</v>
      </c>
      <c r="AP75" s="53" t="n">
        <v>0.4</v>
      </c>
      <c r="AQ75" s="29"/>
      <c r="AR75" s="29"/>
      <c r="AS75" s="29"/>
      <c r="AT75" s="29"/>
    </row>
    <row r="76" customFormat="false" ht="30" hidden="false" customHeight="true" outlineLevel="0" collapsed="false">
      <c r="A76" s="25" t="n">
        <v>69</v>
      </c>
      <c r="B76" s="27" t="s">
        <v>241</v>
      </c>
      <c r="C76" s="49" t="s">
        <v>247</v>
      </c>
      <c r="D76" s="134"/>
      <c r="E76" s="135" t="n">
        <v>120</v>
      </c>
      <c r="F7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76" s="135"/>
      <c r="H76" s="130" t="n">
        <v>2</v>
      </c>
      <c r="I76" s="26" t="n">
        <f aca="false">Tabela43[[#This Row],[Kolumna5]]*20700*0.27778</f>
        <v>11500.092</v>
      </c>
      <c r="J76" s="130"/>
      <c r="K76" s="130"/>
      <c r="L76" s="28" t="n">
        <f aca="false">Tabela43[[#This Row],[Kolumna8]]*0.000843882*40190*0.27778</f>
        <v>0</v>
      </c>
      <c r="M76" s="130"/>
      <c r="N76" s="146" t="n">
        <f aca="false">Tabela43[[#This Row],[Kolumna84]]/2.55</f>
        <v>0</v>
      </c>
      <c r="O76" s="28" t="n">
        <f aca="false">Tabela43[[#This Row],[Kolumna82]]*35.94*0.27778</f>
        <v>0</v>
      </c>
      <c r="P76" s="130"/>
      <c r="Q76" s="130"/>
      <c r="R76" s="130" t="n">
        <v>10</v>
      </c>
      <c r="S76" s="116" t="n">
        <f aca="false">Tabela43[[#This Row],[Kolumna92]]*0.65</f>
        <v>6.5</v>
      </c>
      <c r="T76" s="28" t="n">
        <f aca="false">Tabela43[[#This Row],[Kolumna10]]*15600*0.27778</f>
        <v>28166.892</v>
      </c>
      <c r="U76" s="130"/>
      <c r="V76" s="130"/>
      <c r="W76" s="130"/>
      <c r="X76" s="130" t="n">
        <v>120</v>
      </c>
      <c r="Y76" s="130" t="n">
        <f aca="false">Tabela43[[#This Row],[Kolumna1223]]*12</f>
        <v>1440</v>
      </c>
      <c r="Z76" s="28" t="n">
        <f aca="false">Tabela43[[#This Row],[Kolumna123]]/0.55</f>
        <v>2618.18181818182</v>
      </c>
      <c r="AA76" s="125"/>
      <c r="AB76" s="125" t="n">
        <v>200</v>
      </c>
      <c r="AC76" s="125" t="n">
        <f aca="false">Tabela54[[#This Row],[Kolumna22]]*12</f>
        <v>2400</v>
      </c>
      <c r="AD76" s="122" t="n">
        <f aca="false">Tabela54[[#This Row],[Kolumna3]]/4.44</f>
        <v>540.540540540541</v>
      </c>
      <c r="AE76" s="120" t="n">
        <f aca="false">Tabela54[[#This Row],[Kolumna23]]*Tabela54[[#This Row],[Kolumna63]]</f>
        <v>54.0540540540541</v>
      </c>
      <c r="AF76" s="120"/>
      <c r="AG76" s="122" t="n">
        <f aca="false">Tabela54[[#This Row],[Kolumna12]]*12</f>
        <v>0</v>
      </c>
      <c r="AH76" s="122" t="n">
        <f aca="false">Tabela54[[#This Row],[Kolumna222]]/1.59</f>
        <v>0</v>
      </c>
      <c r="AI76" s="119" t="n">
        <f aca="false">Tabela54[[#This Row],[Kolumna223]]*Tabela54[[#This Row],[Kolumna63]]</f>
        <v>0</v>
      </c>
      <c r="AJ76" s="119"/>
      <c r="AK76" s="122" t="n">
        <f aca="false">Tabela54[[#This Row],[Kolumna34]]*12</f>
        <v>0</v>
      </c>
      <c r="AL76" s="122" t="n">
        <f aca="false">Tabela54[[#This Row],[Kolumna32]]/4.2</f>
        <v>0</v>
      </c>
      <c r="AM76" s="119" t="n">
        <f aca="false">Tabela54[[#This Row],[Kolumna322]]*Tabela54[[#This Row],[Kolumna63]]</f>
        <v>0</v>
      </c>
      <c r="AN76" s="122"/>
      <c r="AO76" s="122" t="n">
        <f aca="false">Tabela54[[#This Row],[Kolumna5]]*Tabela54[[#This Row],[Kolumna63]]</f>
        <v>0</v>
      </c>
      <c r="AP76" s="53" t="n">
        <v>0.1</v>
      </c>
      <c r="AQ76" s="29"/>
      <c r="AR76" s="29"/>
      <c r="AS76" s="29"/>
      <c r="AT76" s="29"/>
    </row>
    <row r="77" customFormat="false" ht="30" hidden="false" customHeight="true" outlineLevel="0" collapsed="false">
      <c r="A77" s="25" t="n">
        <v>70</v>
      </c>
      <c r="B77" s="27" t="s">
        <v>241</v>
      </c>
      <c r="C77" s="49" t="s">
        <v>247</v>
      </c>
      <c r="D77" s="134"/>
      <c r="E77" s="135" t="n">
        <v>80</v>
      </c>
      <c r="F7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367.08615</v>
      </c>
      <c r="G77" s="135"/>
      <c r="H77" s="130"/>
      <c r="I77" s="26" t="n">
        <f aca="false">Tabela43[[#This Row],[Kolumna5]]*20700*0.27778</f>
        <v>0</v>
      </c>
      <c r="J77" s="130"/>
      <c r="K77" s="130"/>
      <c r="L77" s="28" t="n">
        <f aca="false">Tabela43[[#This Row],[Kolumna8]]*0.000843882*40190*0.27778</f>
        <v>0</v>
      </c>
      <c r="M77" s="130"/>
      <c r="N77" s="146" t="n">
        <f aca="false">Tabela43[[#This Row],[Kolumna84]]/2.55</f>
        <v>0</v>
      </c>
      <c r="O77" s="28" t="n">
        <f aca="false">Tabela43[[#This Row],[Kolumna82]]*35.94*0.27778</f>
        <v>0</v>
      </c>
      <c r="P77" s="130" t="n">
        <v>6</v>
      </c>
      <c r="Q77" s="130"/>
      <c r="R77" s="130" t="n">
        <v>10</v>
      </c>
      <c r="S77" s="116" t="n">
        <f aca="false">Tabela43[[#This Row],[Kolumna92]]*0.65</f>
        <v>6.5</v>
      </c>
      <c r="T77" s="28" t="n">
        <f aca="false">Tabela43[[#This Row],[Kolumna10]]*15600*0.27778</f>
        <v>28166.892</v>
      </c>
      <c r="U77" s="130"/>
      <c r="V77" s="130"/>
      <c r="W77" s="130"/>
      <c r="X77" s="130" t="n">
        <v>100</v>
      </c>
      <c r="Y77" s="130" t="n">
        <f aca="false">Tabela43[[#This Row],[Kolumna1223]]*12</f>
        <v>1200</v>
      </c>
      <c r="Z77" s="28" t="n">
        <f aca="false">Tabela43[[#This Row],[Kolumna123]]/0.55</f>
        <v>2181.81818181818</v>
      </c>
      <c r="AA77" s="125"/>
      <c r="AB77" s="125"/>
      <c r="AC77" s="125" t="n">
        <f aca="false">Tabela54[[#This Row],[Kolumna22]]*12</f>
        <v>0</v>
      </c>
      <c r="AD77" s="122" t="n">
        <f aca="false">Tabela54[[#This Row],[Kolumna3]]/4.44</f>
        <v>0</v>
      </c>
      <c r="AE77" s="120" t="n">
        <f aca="false">Tabela54[[#This Row],[Kolumna23]]*Tabela54[[#This Row],[Kolumna63]]</f>
        <v>0</v>
      </c>
      <c r="AF77" s="120"/>
      <c r="AG77" s="122" t="n">
        <f aca="false">Tabela54[[#This Row],[Kolumna12]]*12</f>
        <v>0</v>
      </c>
      <c r="AH77" s="122" t="n">
        <f aca="false">Tabela54[[#This Row],[Kolumna222]]/1.59</f>
        <v>0</v>
      </c>
      <c r="AI77" s="119" t="n">
        <f aca="false">Tabela54[[#This Row],[Kolumna223]]*Tabela54[[#This Row],[Kolumna63]]</f>
        <v>0</v>
      </c>
      <c r="AJ77" s="119" t="n">
        <v>300</v>
      </c>
      <c r="AK77" s="122" t="n">
        <f aca="false">Tabela54[[#This Row],[Kolumna34]]*12</f>
        <v>3600</v>
      </c>
      <c r="AL77" s="122" t="n">
        <f aca="false">Tabela54[[#This Row],[Kolumna32]]/4.2</f>
        <v>857.142857142857</v>
      </c>
      <c r="AM77" s="119" t="n">
        <f aca="false">Tabela54[[#This Row],[Kolumna322]]*Tabela54[[#This Row],[Kolumna63]]</f>
        <v>342.857142857143</v>
      </c>
      <c r="AN77" s="122"/>
      <c r="AO77" s="122" t="n">
        <f aca="false">Tabela54[[#This Row],[Kolumna5]]*Tabela54[[#This Row],[Kolumna63]]</f>
        <v>0</v>
      </c>
      <c r="AP77" s="53" t="n">
        <v>0.4</v>
      </c>
      <c r="AQ77" s="29"/>
      <c r="AR77" s="29"/>
      <c r="AS77" s="29"/>
      <c r="AT77" s="29"/>
    </row>
    <row r="78" customFormat="false" ht="30" hidden="false" customHeight="true" outlineLevel="0" collapsed="false">
      <c r="A78" s="40" t="n">
        <v>71</v>
      </c>
      <c r="B78" s="27" t="s">
        <v>241</v>
      </c>
      <c r="C78" s="49" t="s">
        <v>247</v>
      </c>
      <c r="D78" s="134"/>
      <c r="E78" s="135" t="n">
        <v>150</v>
      </c>
      <c r="F7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281.224344</v>
      </c>
      <c r="G78" s="135"/>
      <c r="H78" s="130" t="n">
        <v>3</v>
      </c>
      <c r="I78" s="26" t="n">
        <f aca="false">Tabela43[[#This Row],[Kolumna5]]*20700*0.27778</f>
        <v>17250.138</v>
      </c>
      <c r="J78" s="130"/>
      <c r="K78" s="130"/>
      <c r="L78" s="28" t="n">
        <f aca="false">Tabela43[[#This Row],[Kolumna8]]*0.000843882*40190*0.27778</f>
        <v>0</v>
      </c>
      <c r="M78" s="130"/>
      <c r="N78" s="146" t="n">
        <f aca="false">Tabela43[[#This Row],[Kolumna84]]/2.55</f>
        <v>0</v>
      </c>
      <c r="O78" s="28" t="n">
        <f aca="false">Tabela43[[#This Row],[Kolumna82]]*35.94*0.27778</f>
        <v>0</v>
      </c>
      <c r="P78" s="130"/>
      <c r="Q78" s="130"/>
      <c r="R78" s="130" t="n">
        <v>8</v>
      </c>
      <c r="S78" s="116" t="n">
        <f aca="false">Tabela43[[#This Row],[Kolumna92]]*0.65</f>
        <v>5.2</v>
      </c>
      <c r="T78" s="28" t="n">
        <f aca="false">Tabela43[[#This Row],[Kolumna10]]*15600*0.27778</f>
        <v>22533.5136</v>
      </c>
      <c r="U78" s="130"/>
      <c r="V78" s="130"/>
      <c r="W78" s="130"/>
      <c r="X78" s="130" t="n">
        <v>200</v>
      </c>
      <c r="Y78" s="130" t="n">
        <f aca="false">Tabela43[[#This Row],[Kolumna1223]]*12</f>
        <v>2400</v>
      </c>
      <c r="Z78" s="28" t="n">
        <f aca="false">Tabela43[[#This Row],[Kolumna123]]/0.55</f>
        <v>4363.63636363636</v>
      </c>
      <c r="AA78" s="125"/>
      <c r="AB78" s="125" t="n">
        <v>300</v>
      </c>
      <c r="AC78" s="125" t="n">
        <f aca="false">Tabela54[[#This Row],[Kolumna22]]*12</f>
        <v>3600</v>
      </c>
      <c r="AD78" s="122" t="n">
        <f aca="false">Tabela54[[#This Row],[Kolumna3]]/4.44</f>
        <v>810.810810810811</v>
      </c>
      <c r="AE78" s="120" t="n">
        <f aca="false">Tabela54[[#This Row],[Kolumna23]]*Tabela54[[#This Row],[Kolumna63]]</f>
        <v>486.486486486486</v>
      </c>
      <c r="AF78" s="120" t="n">
        <v>200</v>
      </c>
      <c r="AG78" s="122" t="n">
        <f aca="false">Tabela54[[#This Row],[Kolumna12]]*12</f>
        <v>2400</v>
      </c>
      <c r="AH78" s="122" t="n">
        <f aca="false">Tabela54[[#This Row],[Kolumna222]]/1.59</f>
        <v>1509.43396226415</v>
      </c>
      <c r="AI78" s="119" t="n">
        <f aca="false">Tabela54[[#This Row],[Kolumna223]]*Tabela54[[#This Row],[Kolumna63]]</f>
        <v>905.660377358491</v>
      </c>
      <c r="AJ78" s="119"/>
      <c r="AK78" s="122" t="n">
        <f aca="false">Tabela54[[#This Row],[Kolumna34]]*12</f>
        <v>0</v>
      </c>
      <c r="AL78" s="122" t="n">
        <f aca="false">Tabela54[[#This Row],[Kolumna32]]/4.2</f>
        <v>0</v>
      </c>
      <c r="AM78" s="119" t="n">
        <f aca="false">Tabela54[[#This Row],[Kolumna322]]*Tabela54[[#This Row],[Kolumna63]]</f>
        <v>0</v>
      </c>
      <c r="AN78" s="122"/>
      <c r="AO78" s="122" t="n">
        <f aca="false">Tabela54[[#This Row],[Kolumna5]]*Tabela54[[#This Row],[Kolumna63]]</f>
        <v>0</v>
      </c>
      <c r="AP78" s="53" t="n">
        <v>0.6</v>
      </c>
      <c r="AQ78" s="29"/>
      <c r="AR78" s="29"/>
      <c r="AS78" s="29"/>
      <c r="AT78" s="29"/>
    </row>
    <row r="79" customFormat="false" ht="30" hidden="false" customHeight="true" outlineLevel="0" collapsed="false">
      <c r="A79" s="25" t="n">
        <v>72</v>
      </c>
      <c r="B79" s="27" t="s">
        <v>241</v>
      </c>
      <c r="C79" s="49" t="s">
        <v>248</v>
      </c>
      <c r="D79" s="134"/>
      <c r="E79" s="135" t="n">
        <v>120</v>
      </c>
      <c r="F7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152.77892</v>
      </c>
      <c r="G79" s="135"/>
      <c r="H79" s="130" t="n">
        <v>2</v>
      </c>
      <c r="I79" s="26" t="n">
        <f aca="false">Tabela43[[#This Row],[Kolumna5]]*20700*0.27778</f>
        <v>11500.092</v>
      </c>
      <c r="J79" s="130"/>
      <c r="K79" s="130"/>
      <c r="L79" s="28" t="n">
        <f aca="false">Tabela43[[#This Row],[Kolumna8]]*0.000843882*40190*0.27778</f>
        <v>0</v>
      </c>
      <c r="M79" s="130"/>
      <c r="N79" s="146" t="n">
        <f aca="false">Tabela43[[#This Row],[Kolumna84]]/2.55</f>
        <v>0</v>
      </c>
      <c r="O79" s="28" t="n">
        <f aca="false">Tabela43[[#This Row],[Kolumna82]]*35.94*0.27778</f>
        <v>0</v>
      </c>
      <c r="P79" s="130"/>
      <c r="Q79" s="130"/>
      <c r="R79" s="130" t="n">
        <v>2</v>
      </c>
      <c r="S79" s="116" t="n">
        <f aca="false">Tabela43[[#This Row],[Kolumna92]]*0.65</f>
        <v>1.3</v>
      </c>
      <c r="T79" s="28" t="n">
        <f aca="false">Tabela43[[#This Row],[Kolumna10]]*15600*0.27778</f>
        <v>5633.3784</v>
      </c>
      <c r="U79" s="130"/>
      <c r="V79" s="130"/>
      <c r="W79" s="130"/>
      <c r="X79" s="130" t="n">
        <v>100</v>
      </c>
      <c r="Y79" s="130" t="n">
        <f aca="false">Tabela43[[#This Row],[Kolumna1223]]*12</f>
        <v>1200</v>
      </c>
      <c r="Z79" s="28" t="n">
        <f aca="false">Tabela43[[#This Row],[Kolumna123]]/0.55</f>
        <v>2181.81818181818</v>
      </c>
      <c r="AA79" s="125"/>
      <c r="AB79" s="125"/>
      <c r="AC79" s="125" t="n">
        <f aca="false">Tabela54[[#This Row],[Kolumna22]]*12</f>
        <v>0</v>
      </c>
      <c r="AD79" s="122" t="n">
        <f aca="false">Tabela54[[#This Row],[Kolumna3]]/4.44</f>
        <v>0</v>
      </c>
      <c r="AE79" s="120" t="n">
        <f aca="false">Tabela54[[#This Row],[Kolumna23]]*Tabela54[[#This Row],[Kolumna63]]</f>
        <v>0</v>
      </c>
      <c r="AF79" s="120"/>
      <c r="AG79" s="122" t="n">
        <f aca="false">Tabela54[[#This Row],[Kolumna12]]*12</f>
        <v>0</v>
      </c>
      <c r="AH79" s="122" t="n">
        <f aca="false">Tabela54[[#This Row],[Kolumna222]]/1.59</f>
        <v>0</v>
      </c>
      <c r="AI79" s="119" t="n">
        <f aca="false">Tabela54[[#This Row],[Kolumna223]]*Tabela54[[#This Row],[Kolumna63]]</f>
        <v>0</v>
      </c>
      <c r="AJ79" s="119"/>
      <c r="AK79" s="122" t="n">
        <f aca="false">Tabela54[[#This Row],[Kolumna34]]*12</f>
        <v>0</v>
      </c>
      <c r="AL79" s="122" t="n">
        <f aca="false">Tabela54[[#This Row],[Kolumna32]]/4.2</f>
        <v>0</v>
      </c>
      <c r="AM79" s="119" t="n">
        <f aca="false">Tabela54[[#This Row],[Kolumna322]]*Tabela54[[#This Row],[Kolumna63]]</f>
        <v>0</v>
      </c>
      <c r="AN79" s="122"/>
      <c r="AO79" s="122" t="n">
        <f aca="false">Tabela54[[#This Row],[Kolumna5]]*Tabela54[[#This Row],[Kolumna63]]</f>
        <v>0</v>
      </c>
      <c r="AP79" s="53"/>
      <c r="AQ79" s="29"/>
      <c r="AR79" s="29"/>
      <c r="AS79" s="29"/>
      <c r="AT79" s="29"/>
    </row>
    <row r="80" customFormat="false" ht="30" hidden="false" customHeight="true" outlineLevel="0" collapsed="false">
      <c r="A80" s="25" t="n">
        <v>73</v>
      </c>
      <c r="B80" s="27" t="s">
        <v>241</v>
      </c>
      <c r="C80" s="49" t="s">
        <v>248</v>
      </c>
      <c r="D80" s="134"/>
      <c r="E80" s="135" t="n">
        <v>120</v>
      </c>
      <c r="F8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260.61302</v>
      </c>
      <c r="G80" s="135"/>
      <c r="H80" s="130" t="n">
        <v>4</v>
      </c>
      <c r="I80" s="26" t="n">
        <f aca="false">Tabela43[[#This Row],[Kolumna5]]*20700*0.27778</f>
        <v>23000.184</v>
      </c>
      <c r="J80" s="130"/>
      <c r="K80" s="130"/>
      <c r="L80" s="28" t="n">
        <f aca="false">Tabela43[[#This Row],[Kolumna8]]*0.000843882*40190*0.27778</f>
        <v>0</v>
      </c>
      <c r="M80" s="130"/>
      <c r="N80" s="146" t="n">
        <f aca="false">Tabela43[[#This Row],[Kolumna84]]/2.55</f>
        <v>0</v>
      </c>
      <c r="O80" s="28" t="n">
        <f aca="false">Tabela43[[#This Row],[Kolumna82]]*35.94*0.27778</f>
        <v>0</v>
      </c>
      <c r="P80" s="130"/>
      <c r="Q80" s="130"/>
      <c r="R80" s="130" t="n">
        <v>2</v>
      </c>
      <c r="S80" s="116" t="n">
        <f aca="false">Tabela43[[#This Row],[Kolumna92]]*0.65</f>
        <v>1.3</v>
      </c>
      <c r="T80" s="28" t="n">
        <f aca="false">Tabela43[[#This Row],[Kolumna10]]*15600*0.27778</f>
        <v>5633.3784</v>
      </c>
      <c r="U80" s="130"/>
      <c r="V80" s="130"/>
      <c r="W80" s="130"/>
      <c r="X80" s="130" t="n">
        <v>220</v>
      </c>
      <c r="Y80" s="130" t="n">
        <f aca="false">Tabela43[[#This Row],[Kolumna1223]]*12</f>
        <v>2640</v>
      </c>
      <c r="Z80" s="28" t="n">
        <f aca="false">Tabela43[[#This Row],[Kolumna123]]/0.55</f>
        <v>4800</v>
      </c>
      <c r="AA80" s="125"/>
      <c r="AB80" s="125" t="n">
        <v>300</v>
      </c>
      <c r="AC80" s="125" t="n">
        <f aca="false">Tabela54[[#This Row],[Kolumna22]]*12</f>
        <v>3600</v>
      </c>
      <c r="AD80" s="122" t="n">
        <f aca="false">Tabela54[[#This Row],[Kolumna3]]/4.44</f>
        <v>810.810810810811</v>
      </c>
      <c r="AE80" s="120" t="n">
        <f aca="false">Tabela54[[#This Row],[Kolumna23]]*Tabela54[[#This Row],[Kolumna63]]</f>
        <v>162.162162162162</v>
      </c>
      <c r="AF80" s="120"/>
      <c r="AG80" s="122" t="n">
        <f aca="false">Tabela54[[#This Row],[Kolumna12]]*12</f>
        <v>0</v>
      </c>
      <c r="AH80" s="122" t="n">
        <f aca="false">Tabela54[[#This Row],[Kolumna222]]/1.59</f>
        <v>0</v>
      </c>
      <c r="AI80" s="119" t="n">
        <f aca="false">Tabela54[[#This Row],[Kolumna223]]*Tabela54[[#This Row],[Kolumna63]]</f>
        <v>0</v>
      </c>
      <c r="AJ80" s="119"/>
      <c r="AK80" s="122" t="n">
        <f aca="false">Tabela54[[#This Row],[Kolumna34]]*12</f>
        <v>0</v>
      </c>
      <c r="AL80" s="122" t="n">
        <f aca="false">Tabela54[[#This Row],[Kolumna32]]/4.2</f>
        <v>0</v>
      </c>
      <c r="AM80" s="119" t="n">
        <f aca="false">Tabela54[[#This Row],[Kolumna322]]*Tabela54[[#This Row],[Kolumna63]]</f>
        <v>0</v>
      </c>
      <c r="AN80" s="122"/>
      <c r="AO80" s="122" t="n">
        <f aca="false">Tabela54[[#This Row],[Kolumna5]]*Tabela54[[#This Row],[Kolumna63]]</f>
        <v>0</v>
      </c>
      <c r="AP80" s="53" t="n">
        <v>0.2</v>
      </c>
      <c r="AQ80" s="29"/>
      <c r="AR80" s="29"/>
      <c r="AS80" s="29"/>
      <c r="AT80" s="29"/>
    </row>
    <row r="81" customFormat="false" ht="30" hidden="false" customHeight="true" outlineLevel="0" collapsed="false">
      <c r="A81" s="40" t="n">
        <v>74</v>
      </c>
      <c r="B81" s="27" t="s">
        <v>241</v>
      </c>
      <c r="C81" s="49" t="s">
        <v>248</v>
      </c>
      <c r="D81" s="134"/>
      <c r="E81" s="135" t="n">
        <v>100</v>
      </c>
      <c r="F8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246.835164</v>
      </c>
      <c r="G81" s="135"/>
      <c r="H81" s="130" t="n">
        <v>3</v>
      </c>
      <c r="I81" s="26" t="n">
        <f aca="false">Tabela43[[#This Row],[Kolumna5]]*20700*0.27778</f>
        <v>17250.138</v>
      </c>
      <c r="J81" s="130"/>
      <c r="K81" s="130"/>
      <c r="L81" s="28" t="n">
        <f aca="false">Tabela43[[#This Row],[Kolumna8]]*0.000843882*40190*0.27778</f>
        <v>0</v>
      </c>
      <c r="M81" s="130"/>
      <c r="N81" s="146" t="n">
        <f aca="false">Tabela43[[#This Row],[Kolumna84]]/2.55</f>
        <v>0</v>
      </c>
      <c r="O81" s="28" t="n">
        <f aca="false">Tabela43[[#This Row],[Kolumna82]]*35.94*0.27778</f>
        <v>0</v>
      </c>
      <c r="P81" s="130"/>
      <c r="Q81" s="130"/>
      <c r="R81" s="130" t="n">
        <v>2</v>
      </c>
      <c r="S81" s="116" t="n">
        <f aca="false">Tabela43[[#This Row],[Kolumna92]]*0.65</f>
        <v>1.3</v>
      </c>
      <c r="T81" s="28" t="n">
        <f aca="false">Tabela43[[#This Row],[Kolumna10]]*15600*0.27778</f>
        <v>5633.3784</v>
      </c>
      <c r="U81" s="130"/>
      <c r="V81" s="130"/>
      <c r="W81" s="130"/>
      <c r="X81" s="130" t="n">
        <v>150</v>
      </c>
      <c r="Y81" s="130" t="n">
        <f aca="false">Tabela43[[#This Row],[Kolumna1223]]*12</f>
        <v>1800</v>
      </c>
      <c r="Z81" s="28" t="n">
        <f aca="false">Tabela43[[#This Row],[Kolumna123]]/0.55</f>
        <v>3272.72727272727</v>
      </c>
      <c r="AA81" s="125"/>
      <c r="AB81" s="125" t="n">
        <v>300</v>
      </c>
      <c r="AC81" s="125" t="n">
        <f aca="false">Tabela54[[#This Row],[Kolumna22]]*12</f>
        <v>3600</v>
      </c>
      <c r="AD81" s="122" t="n">
        <f aca="false">Tabela54[[#This Row],[Kolumna3]]/4.44</f>
        <v>810.810810810811</v>
      </c>
      <c r="AE81" s="120" t="n">
        <f aca="false">Tabela54[[#This Row],[Kolumna23]]*Tabela54[[#This Row],[Kolumna63]]</f>
        <v>243.243243243243</v>
      </c>
      <c r="AF81" s="120" t="n">
        <v>100</v>
      </c>
      <c r="AG81" s="122" t="n">
        <f aca="false">Tabela54[[#This Row],[Kolumna12]]*12</f>
        <v>1200</v>
      </c>
      <c r="AH81" s="122" t="n">
        <f aca="false">Tabela54[[#This Row],[Kolumna222]]/1.59</f>
        <v>754.716981132076</v>
      </c>
      <c r="AI81" s="119" t="n">
        <f aca="false">Tabela54[[#This Row],[Kolumna223]]*Tabela54[[#This Row],[Kolumna63]]</f>
        <v>226.415094339623</v>
      </c>
      <c r="AJ81" s="119"/>
      <c r="AK81" s="122" t="n">
        <f aca="false">Tabela54[[#This Row],[Kolumna34]]*12</f>
        <v>0</v>
      </c>
      <c r="AL81" s="122" t="n">
        <f aca="false">Tabela54[[#This Row],[Kolumna32]]/4.2</f>
        <v>0</v>
      </c>
      <c r="AM81" s="119" t="n">
        <f aca="false">Tabela54[[#This Row],[Kolumna322]]*Tabela54[[#This Row],[Kolumna63]]</f>
        <v>0</v>
      </c>
      <c r="AN81" s="122"/>
      <c r="AO81" s="122" t="n">
        <f aca="false">Tabela54[[#This Row],[Kolumna5]]*Tabela54[[#This Row],[Kolumna63]]</f>
        <v>0</v>
      </c>
      <c r="AP81" s="53" t="n">
        <v>0.3</v>
      </c>
      <c r="AQ81" s="29"/>
      <c r="AR81" s="29"/>
      <c r="AS81" s="29"/>
      <c r="AT81" s="29"/>
    </row>
    <row r="82" customFormat="false" ht="30" hidden="false" customHeight="true" outlineLevel="0" collapsed="false">
      <c r="A82" s="25" t="n">
        <v>75</v>
      </c>
      <c r="B82" s="27" t="s">
        <v>241</v>
      </c>
      <c r="C82" s="49" t="s">
        <v>248</v>
      </c>
      <c r="D82" s="134"/>
      <c r="E82" s="135" t="n">
        <v>100</v>
      </c>
      <c r="F8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190.534704</v>
      </c>
      <c r="G82" s="135"/>
      <c r="H82" s="130" t="n">
        <v>2</v>
      </c>
      <c r="I82" s="26" t="n">
        <f aca="false">Tabela43[[#This Row],[Kolumna5]]*20700*0.27778</f>
        <v>11500.092</v>
      </c>
      <c r="J82" s="130"/>
      <c r="K82" s="130"/>
      <c r="L82" s="28" t="n">
        <f aca="false">Tabela43[[#This Row],[Kolumna8]]*0.000843882*40190*0.27778</f>
        <v>0</v>
      </c>
      <c r="M82" s="130"/>
      <c r="N82" s="146" t="n">
        <f aca="false">Tabela43[[#This Row],[Kolumna84]]/2.55</f>
        <v>0</v>
      </c>
      <c r="O82" s="28" t="n">
        <f aca="false">Tabela43[[#This Row],[Kolumna82]]*35.94*0.27778</f>
        <v>0</v>
      </c>
      <c r="P82" s="130"/>
      <c r="Q82" s="130"/>
      <c r="R82" s="130" t="n">
        <v>2</v>
      </c>
      <c r="S82" s="116" t="n">
        <f aca="false">Tabela43[[#This Row],[Kolumna92]]*0.65</f>
        <v>1.3</v>
      </c>
      <c r="T82" s="28" t="n">
        <f aca="false">Tabela43[[#This Row],[Kolumna10]]*15600*0.27778</f>
        <v>5633.3784</v>
      </c>
      <c r="U82" s="130"/>
      <c r="V82" s="130"/>
      <c r="W82" s="130"/>
      <c r="X82" s="130" t="n">
        <v>160</v>
      </c>
      <c r="Y82" s="130" t="n">
        <f aca="false">Tabela43[[#This Row],[Kolumna1223]]*12</f>
        <v>1920</v>
      </c>
      <c r="Z82" s="28" t="n">
        <f aca="false">Tabela43[[#This Row],[Kolumna123]]/0.55</f>
        <v>3490.90909090909</v>
      </c>
      <c r="AA82" s="125"/>
      <c r="AB82" s="125" t="n">
        <v>100</v>
      </c>
      <c r="AC82" s="125" t="n">
        <f aca="false">Tabela54[[#This Row],[Kolumna22]]*12</f>
        <v>1200</v>
      </c>
      <c r="AD82" s="122" t="n">
        <f aca="false">Tabela54[[#This Row],[Kolumna3]]/4.44</f>
        <v>270.27027027027</v>
      </c>
      <c r="AE82" s="120" t="n">
        <f aca="false">Tabela54[[#This Row],[Kolumna23]]*Tabela54[[#This Row],[Kolumna63]]</f>
        <v>54.0540540540541</v>
      </c>
      <c r="AF82" s="120"/>
      <c r="AG82" s="122" t="n">
        <f aca="false">Tabela54[[#This Row],[Kolumna12]]*12</f>
        <v>0</v>
      </c>
      <c r="AH82" s="122" t="n">
        <f aca="false">Tabela54[[#This Row],[Kolumna222]]/1.59</f>
        <v>0</v>
      </c>
      <c r="AI82" s="119" t="n">
        <f aca="false">Tabela54[[#This Row],[Kolumna223]]*Tabela54[[#This Row],[Kolumna63]]</f>
        <v>0</v>
      </c>
      <c r="AJ82" s="119" t="n">
        <v>200</v>
      </c>
      <c r="AK82" s="122" t="n">
        <f aca="false">Tabela54[[#This Row],[Kolumna34]]*12</f>
        <v>2400</v>
      </c>
      <c r="AL82" s="122" t="n">
        <f aca="false">Tabela54[[#This Row],[Kolumna32]]/4.2</f>
        <v>571.428571428571</v>
      </c>
      <c r="AM82" s="119" t="n">
        <f aca="false">Tabela54[[#This Row],[Kolumna322]]*Tabela54[[#This Row],[Kolumna63]]</f>
        <v>114.285714285714</v>
      </c>
      <c r="AN82" s="122"/>
      <c r="AO82" s="122" t="n">
        <f aca="false">Tabela54[[#This Row],[Kolumna5]]*Tabela54[[#This Row],[Kolumna63]]</f>
        <v>0</v>
      </c>
      <c r="AP82" s="53" t="n">
        <v>0.2</v>
      </c>
      <c r="AQ82" s="29"/>
      <c r="AR82" s="29"/>
      <c r="AS82" s="29"/>
      <c r="AT82" s="29"/>
    </row>
    <row r="83" customFormat="false" ht="30" hidden="false" customHeight="true" outlineLevel="0" collapsed="false">
      <c r="A83" s="25" t="n">
        <v>76</v>
      </c>
      <c r="B83" s="27" t="s">
        <v>241</v>
      </c>
      <c r="C83" s="49" t="s">
        <v>242</v>
      </c>
      <c r="D83" s="134"/>
      <c r="E83" s="135" t="n">
        <v>160</v>
      </c>
      <c r="F8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155.792805</v>
      </c>
      <c r="G83" s="135"/>
      <c r="H83" s="130" t="n">
        <v>2</v>
      </c>
      <c r="I83" s="26" t="n">
        <f aca="false">Tabela43[[#This Row],[Kolumna5]]*20700*0.27778</f>
        <v>11500.092</v>
      </c>
      <c r="J83" s="130"/>
      <c r="K83" s="130"/>
      <c r="L83" s="28" t="n">
        <f aca="false">Tabela43[[#This Row],[Kolumna8]]*0.000843882*40190*0.27778</f>
        <v>0</v>
      </c>
      <c r="M83" s="130"/>
      <c r="N83" s="146" t="n">
        <f aca="false">Tabela43[[#This Row],[Kolumna84]]/2.55</f>
        <v>0</v>
      </c>
      <c r="O83" s="28" t="n">
        <f aca="false">Tabela43[[#This Row],[Kolumna82]]*35.94*0.27778</f>
        <v>0</v>
      </c>
      <c r="P83" s="130"/>
      <c r="Q83" s="130"/>
      <c r="R83" s="130" t="n">
        <v>4</v>
      </c>
      <c r="S83" s="116" t="n">
        <f aca="false">Tabela43[[#This Row],[Kolumna92]]*0.65</f>
        <v>2.6</v>
      </c>
      <c r="T83" s="28" t="n">
        <f aca="false">Tabela43[[#This Row],[Kolumna10]]*15600*0.27778</f>
        <v>11266.7568</v>
      </c>
      <c r="U83" s="130"/>
      <c r="V83" s="130"/>
      <c r="W83" s="130"/>
      <c r="X83" s="130" t="n">
        <v>180</v>
      </c>
      <c r="Y83" s="130" t="n">
        <f aca="false">Tabela43[[#This Row],[Kolumna1223]]*12</f>
        <v>2160</v>
      </c>
      <c r="Z83" s="28" t="n">
        <f aca="false">Tabela43[[#This Row],[Kolumna123]]/0.55</f>
        <v>3927.27272727273</v>
      </c>
      <c r="AA83" s="125"/>
      <c r="AB83" s="125"/>
      <c r="AC83" s="125" t="n">
        <f aca="false">Tabela54[[#This Row],[Kolumna22]]*12</f>
        <v>0</v>
      </c>
      <c r="AD83" s="122" t="n">
        <f aca="false">Tabela54[[#This Row],[Kolumna3]]/4.44</f>
        <v>0</v>
      </c>
      <c r="AE83" s="120" t="n">
        <f aca="false">Tabela54[[#This Row],[Kolumna23]]*Tabela54[[#This Row],[Kolumna63]]</f>
        <v>0</v>
      </c>
      <c r="AF83" s="120"/>
      <c r="AG83" s="122" t="n">
        <f aca="false">Tabela54[[#This Row],[Kolumna12]]*12</f>
        <v>0</v>
      </c>
      <c r="AH83" s="122" t="n">
        <f aca="false">Tabela54[[#This Row],[Kolumna222]]/1.59</f>
        <v>0</v>
      </c>
      <c r="AI83" s="119" t="n">
        <f aca="false">Tabela54[[#This Row],[Kolumna223]]*Tabela54[[#This Row],[Kolumna63]]</f>
        <v>0</v>
      </c>
      <c r="AJ83" s="119" t="n">
        <v>400</v>
      </c>
      <c r="AK83" s="122" t="n">
        <f aca="false">Tabela54[[#This Row],[Kolumna34]]*12</f>
        <v>4800</v>
      </c>
      <c r="AL83" s="122" t="n">
        <f aca="false">Tabela54[[#This Row],[Kolumna32]]/4.2</f>
        <v>1142.85714285714</v>
      </c>
      <c r="AM83" s="119" t="n">
        <f aca="false">Tabela54[[#This Row],[Kolumna322]]*Tabela54[[#This Row],[Kolumna63]]</f>
        <v>228.571428571429</v>
      </c>
      <c r="AN83" s="122"/>
      <c r="AO83" s="122" t="n">
        <f aca="false">Tabela54[[#This Row],[Kolumna5]]*Tabela54[[#This Row],[Kolumna63]]</f>
        <v>0</v>
      </c>
      <c r="AP83" s="53" t="n">
        <v>0.2</v>
      </c>
      <c r="AQ83" s="29"/>
      <c r="AR83" s="29"/>
      <c r="AS83" s="29"/>
      <c r="AT83" s="29"/>
    </row>
    <row r="84" customFormat="false" ht="30" hidden="false" customHeight="true" outlineLevel="0" collapsed="false">
      <c r="A84" s="40" t="n">
        <v>77</v>
      </c>
      <c r="B84" s="27" t="s">
        <v>241</v>
      </c>
      <c r="C84" s="49" t="s">
        <v>242</v>
      </c>
      <c r="D84" s="134"/>
      <c r="E84" s="135" t="n">
        <v>120</v>
      </c>
      <c r="F8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248.66856</v>
      </c>
      <c r="G84" s="135"/>
      <c r="H84" s="130" t="n">
        <v>2</v>
      </c>
      <c r="I84" s="26" t="n">
        <f aca="false">Tabela43[[#This Row],[Kolumna5]]*20700*0.27778</f>
        <v>11500.092</v>
      </c>
      <c r="J84" s="130"/>
      <c r="K84" s="130"/>
      <c r="L84" s="28" t="n">
        <f aca="false">Tabela43[[#This Row],[Kolumna8]]*0.000843882*40190*0.27778</f>
        <v>0</v>
      </c>
      <c r="M84" s="130"/>
      <c r="N84" s="146" t="n">
        <f aca="false">Tabela43[[#This Row],[Kolumna84]]/2.55</f>
        <v>0</v>
      </c>
      <c r="O84" s="28" t="n">
        <f aca="false">Tabela43[[#This Row],[Kolumna82]]*35.94*0.27778</f>
        <v>0</v>
      </c>
      <c r="P84" s="130"/>
      <c r="Q84" s="130"/>
      <c r="R84" s="130" t="n">
        <v>6</v>
      </c>
      <c r="S84" s="116" t="n">
        <f aca="false">Tabela43[[#This Row],[Kolumna92]]*0.65</f>
        <v>3.9</v>
      </c>
      <c r="T84" s="28" t="n">
        <f aca="false">Tabela43[[#This Row],[Kolumna10]]*15600*0.27778</f>
        <v>16900.1352</v>
      </c>
      <c r="U84" s="130"/>
      <c r="V84" s="130"/>
      <c r="W84" s="130"/>
      <c r="X84" s="130" t="n">
        <v>120</v>
      </c>
      <c r="Y84" s="130" t="n">
        <f aca="false">Tabela43[[#This Row],[Kolumna1223]]*12</f>
        <v>1440</v>
      </c>
      <c r="Z84" s="28" t="n">
        <f aca="false">Tabela43[[#This Row],[Kolumna123]]/0.55</f>
        <v>2618.18181818182</v>
      </c>
      <c r="AA84" s="125"/>
      <c r="AB84" s="125"/>
      <c r="AC84" s="125" t="n">
        <f aca="false">Tabela54[[#This Row],[Kolumna22]]*12</f>
        <v>0</v>
      </c>
      <c r="AD84" s="122" t="n">
        <f aca="false">Tabela54[[#This Row],[Kolumna3]]/4.44</f>
        <v>0</v>
      </c>
      <c r="AE84" s="120" t="n">
        <f aca="false">Tabela54[[#This Row],[Kolumna23]]*Tabela54[[#This Row],[Kolumna63]]</f>
        <v>0</v>
      </c>
      <c r="AF84" s="120"/>
      <c r="AG84" s="122" t="n">
        <f aca="false">Tabela54[[#This Row],[Kolumna12]]*12</f>
        <v>0</v>
      </c>
      <c r="AH84" s="122" t="n">
        <f aca="false">Tabela54[[#This Row],[Kolumna222]]/1.59</f>
        <v>0</v>
      </c>
      <c r="AI84" s="119" t="n">
        <f aca="false">Tabela54[[#This Row],[Kolumna223]]*Tabela54[[#This Row],[Kolumna63]]</f>
        <v>0</v>
      </c>
      <c r="AJ84" s="119" t="n">
        <v>300</v>
      </c>
      <c r="AK84" s="122" t="n">
        <f aca="false">Tabela54[[#This Row],[Kolumna34]]*12</f>
        <v>3600</v>
      </c>
      <c r="AL84" s="122" t="n">
        <f aca="false">Tabela54[[#This Row],[Kolumna32]]/4.2</f>
        <v>857.142857142857</v>
      </c>
      <c r="AM84" s="119" t="n">
        <f aca="false">Tabela54[[#This Row],[Kolumna322]]*Tabela54[[#This Row],[Kolumna63]]</f>
        <v>257.142857142857</v>
      </c>
      <c r="AN84" s="122"/>
      <c r="AO84" s="122" t="n">
        <f aca="false">Tabela54[[#This Row],[Kolumna5]]*Tabela54[[#This Row],[Kolumna63]]</f>
        <v>0</v>
      </c>
      <c r="AP84" s="53" t="n">
        <v>0.3</v>
      </c>
      <c r="AQ84" s="29"/>
      <c r="AR84" s="29"/>
      <c r="AS84" s="29"/>
      <c r="AT84" s="29"/>
    </row>
    <row r="85" customFormat="false" ht="30" hidden="false" customHeight="true" outlineLevel="0" collapsed="false">
      <c r="A85" s="25" t="n">
        <v>78</v>
      </c>
      <c r="B85" s="27" t="s">
        <v>241</v>
      </c>
      <c r="C85" s="49" t="s">
        <v>242</v>
      </c>
      <c r="D85" s="134"/>
      <c r="E85" s="135" t="n">
        <v>120</v>
      </c>
      <c r="F8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297.64115</v>
      </c>
      <c r="G85" s="135"/>
      <c r="H85" s="130" t="n">
        <v>1</v>
      </c>
      <c r="I85" s="26" t="n">
        <f aca="false">Tabela43[[#This Row],[Kolumna5]]*20700*0.27778</f>
        <v>5750.046</v>
      </c>
      <c r="J85" s="130"/>
      <c r="K85" s="130"/>
      <c r="L85" s="28" t="n">
        <f aca="false">Tabela43[[#This Row],[Kolumna8]]*0.000843882*40190*0.27778</f>
        <v>0</v>
      </c>
      <c r="M85" s="130"/>
      <c r="N85" s="146" t="n">
        <f aca="false">Tabela43[[#This Row],[Kolumna84]]/2.55</f>
        <v>0</v>
      </c>
      <c r="O85" s="28" t="n">
        <f aca="false">Tabela43[[#This Row],[Kolumna82]]*35.94*0.27778</f>
        <v>0</v>
      </c>
      <c r="P85" s="130"/>
      <c r="Q85" s="130"/>
      <c r="R85" s="130" t="n">
        <v>10</v>
      </c>
      <c r="S85" s="116" t="n">
        <f aca="false">Tabela43[[#This Row],[Kolumna92]]*0.65</f>
        <v>6.5</v>
      </c>
      <c r="T85" s="28" t="n">
        <f aca="false">Tabela43[[#This Row],[Kolumna10]]*15600*0.27778</f>
        <v>28166.892</v>
      </c>
      <c r="U85" s="130"/>
      <c r="V85" s="130"/>
      <c r="W85" s="130"/>
      <c r="X85" s="130" t="n">
        <v>150</v>
      </c>
      <c r="Y85" s="130" t="n">
        <f aca="false">Tabela43[[#This Row],[Kolumna1223]]*12</f>
        <v>1800</v>
      </c>
      <c r="Z85" s="28" t="n">
        <f aca="false">Tabela43[[#This Row],[Kolumna123]]/0.55</f>
        <v>3272.72727272727</v>
      </c>
      <c r="AA85" s="125"/>
      <c r="AB85" s="125" t="n">
        <v>200</v>
      </c>
      <c r="AC85" s="125" t="n">
        <f aca="false">Tabela54[[#This Row],[Kolumna22]]*12</f>
        <v>2400</v>
      </c>
      <c r="AD85" s="122" t="n">
        <f aca="false">Tabela54[[#This Row],[Kolumna3]]/4.44</f>
        <v>540.540540540541</v>
      </c>
      <c r="AE85" s="120" t="n">
        <f aca="false">Tabela54[[#This Row],[Kolumna23]]*Tabela54[[#This Row],[Kolumna63]]</f>
        <v>162.162162162162</v>
      </c>
      <c r="AF85" s="120" t="n">
        <v>100</v>
      </c>
      <c r="AG85" s="122" t="n">
        <f aca="false">Tabela54[[#This Row],[Kolumna12]]*12</f>
        <v>1200</v>
      </c>
      <c r="AH85" s="122" t="n">
        <f aca="false">Tabela54[[#This Row],[Kolumna222]]/1.59</f>
        <v>754.716981132076</v>
      </c>
      <c r="AI85" s="119" t="n">
        <f aca="false">Tabela54[[#This Row],[Kolumna223]]*Tabela54[[#This Row],[Kolumna63]]</f>
        <v>226.415094339623</v>
      </c>
      <c r="AJ85" s="119"/>
      <c r="AK85" s="122" t="n">
        <f aca="false">Tabela54[[#This Row],[Kolumna34]]*12</f>
        <v>0</v>
      </c>
      <c r="AL85" s="122" t="n">
        <f aca="false">Tabela54[[#This Row],[Kolumna32]]/4.2</f>
        <v>0</v>
      </c>
      <c r="AM85" s="119" t="n">
        <f aca="false">Tabela54[[#This Row],[Kolumna322]]*Tabela54[[#This Row],[Kolumna63]]</f>
        <v>0</v>
      </c>
      <c r="AN85" s="122"/>
      <c r="AO85" s="122" t="n">
        <f aca="false">Tabela54[[#This Row],[Kolumna5]]*Tabela54[[#This Row],[Kolumna63]]</f>
        <v>0</v>
      </c>
      <c r="AP85" s="53" t="n">
        <v>0.3</v>
      </c>
      <c r="AQ85" s="29"/>
      <c r="AR85" s="29"/>
      <c r="AS85" s="29"/>
      <c r="AT85" s="29"/>
    </row>
    <row r="86" customFormat="false" ht="30" hidden="false" customHeight="true" outlineLevel="0" collapsed="false">
      <c r="A86" s="25" t="n">
        <v>79</v>
      </c>
      <c r="B86" s="27" t="s">
        <v>241</v>
      </c>
      <c r="C86" s="49" t="s">
        <v>242</v>
      </c>
      <c r="D86" s="134"/>
      <c r="E86" s="135" t="n">
        <v>100</v>
      </c>
      <c r="F8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188.134704</v>
      </c>
      <c r="G86" s="135"/>
      <c r="H86" s="130" t="n">
        <v>2</v>
      </c>
      <c r="I86" s="26" t="n">
        <f aca="false">Tabela43[[#This Row],[Kolumna5]]*20700*0.27778</f>
        <v>11500.092</v>
      </c>
      <c r="J86" s="130"/>
      <c r="K86" s="130"/>
      <c r="L86" s="28" t="n">
        <f aca="false">Tabela43[[#This Row],[Kolumna8]]*0.000843882*40190*0.27778</f>
        <v>0</v>
      </c>
      <c r="M86" s="130"/>
      <c r="N86" s="146" t="n">
        <f aca="false">Tabela43[[#This Row],[Kolumna84]]/2.55</f>
        <v>0</v>
      </c>
      <c r="O86" s="28" t="n">
        <f aca="false">Tabela43[[#This Row],[Kolumna82]]*35.94*0.27778</f>
        <v>0</v>
      </c>
      <c r="P86" s="130"/>
      <c r="Q86" s="130"/>
      <c r="R86" s="130" t="n">
        <v>2</v>
      </c>
      <c r="S86" s="116" t="n">
        <f aca="false">Tabela43[[#This Row],[Kolumna92]]*0.65</f>
        <v>1.3</v>
      </c>
      <c r="T86" s="28" t="n">
        <f aca="false">Tabela43[[#This Row],[Kolumna10]]*15600*0.27778</f>
        <v>5633.3784</v>
      </c>
      <c r="U86" s="130"/>
      <c r="V86" s="130"/>
      <c r="W86" s="130"/>
      <c r="X86" s="130" t="n">
        <v>140</v>
      </c>
      <c r="Y86" s="130" t="n">
        <f aca="false">Tabela43[[#This Row],[Kolumna1223]]*12</f>
        <v>1680</v>
      </c>
      <c r="Z86" s="28" t="n">
        <f aca="false">Tabela43[[#This Row],[Kolumna123]]/0.55</f>
        <v>3054.54545454545</v>
      </c>
      <c r="AA86" s="125"/>
      <c r="AB86" s="125" t="n">
        <v>100</v>
      </c>
      <c r="AC86" s="125" t="n">
        <f aca="false">Tabela54[[#This Row],[Kolumna22]]*12</f>
        <v>1200</v>
      </c>
      <c r="AD86" s="122" t="n">
        <f aca="false">Tabela54[[#This Row],[Kolumna3]]/4.44</f>
        <v>270.27027027027</v>
      </c>
      <c r="AE86" s="120" t="n">
        <f aca="false">Tabela54[[#This Row],[Kolumna23]]*Tabela54[[#This Row],[Kolumna63]]</f>
        <v>27.027027027027</v>
      </c>
      <c r="AF86" s="120"/>
      <c r="AG86" s="122" t="n">
        <f aca="false">Tabela54[[#This Row],[Kolumna12]]*12</f>
        <v>0</v>
      </c>
      <c r="AH86" s="122" t="n">
        <f aca="false">Tabela54[[#This Row],[Kolumna222]]/1.59</f>
        <v>0</v>
      </c>
      <c r="AI86" s="119" t="n">
        <f aca="false">Tabela54[[#This Row],[Kolumna223]]*Tabela54[[#This Row],[Kolumna63]]</f>
        <v>0</v>
      </c>
      <c r="AJ86" s="119"/>
      <c r="AK86" s="122" t="n">
        <f aca="false">Tabela54[[#This Row],[Kolumna34]]*12</f>
        <v>0</v>
      </c>
      <c r="AL86" s="122" t="n">
        <f aca="false">Tabela54[[#This Row],[Kolumna32]]/4.2</f>
        <v>0</v>
      </c>
      <c r="AM86" s="119" t="n">
        <f aca="false">Tabela54[[#This Row],[Kolumna322]]*Tabela54[[#This Row],[Kolumna63]]</f>
        <v>0</v>
      </c>
      <c r="AN86" s="122"/>
      <c r="AO86" s="122" t="n">
        <f aca="false">Tabela54[[#This Row],[Kolumna5]]*Tabela54[[#This Row],[Kolumna63]]</f>
        <v>0</v>
      </c>
      <c r="AP86" s="53" t="n">
        <v>0.1</v>
      </c>
      <c r="AQ86" s="29"/>
      <c r="AR86" s="29"/>
      <c r="AS86" s="29"/>
      <c r="AT86" s="29"/>
    </row>
    <row r="87" customFormat="false" ht="30" hidden="false" customHeight="true" outlineLevel="0" collapsed="false">
      <c r="A87" s="40" t="n">
        <v>80</v>
      </c>
      <c r="B87" s="27" t="s">
        <v>241</v>
      </c>
      <c r="C87" s="49" t="s">
        <v>242</v>
      </c>
      <c r="D87" s="134"/>
      <c r="E87" s="135" t="n">
        <v>120</v>
      </c>
      <c r="F8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87" s="135"/>
      <c r="H87" s="130" t="n">
        <v>2</v>
      </c>
      <c r="I87" s="26" t="n">
        <f aca="false">Tabela43[[#This Row],[Kolumna5]]*20700*0.27778</f>
        <v>11500.092</v>
      </c>
      <c r="J87" s="130"/>
      <c r="K87" s="130"/>
      <c r="L87" s="28" t="n">
        <f aca="false">Tabela43[[#This Row],[Kolumna8]]*0.000843882*40190*0.27778</f>
        <v>0</v>
      </c>
      <c r="M87" s="130"/>
      <c r="N87" s="146" t="n">
        <f aca="false">Tabela43[[#This Row],[Kolumna84]]/2.55</f>
        <v>0</v>
      </c>
      <c r="O87" s="28" t="n">
        <f aca="false">Tabela43[[#This Row],[Kolumna82]]*35.94*0.27778</f>
        <v>0</v>
      </c>
      <c r="P87" s="130"/>
      <c r="Q87" s="130"/>
      <c r="R87" s="130" t="n">
        <v>10</v>
      </c>
      <c r="S87" s="116" t="n">
        <f aca="false">Tabela43[[#This Row],[Kolumna92]]*0.65</f>
        <v>6.5</v>
      </c>
      <c r="T87" s="28" t="n">
        <f aca="false">Tabela43[[#This Row],[Kolumna10]]*15600*0.27778</f>
        <v>28166.892</v>
      </c>
      <c r="U87" s="130"/>
      <c r="V87" s="130"/>
      <c r="W87" s="130"/>
      <c r="X87" s="130" t="n">
        <v>120</v>
      </c>
      <c r="Y87" s="130" t="n">
        <f aca="false">Tabela43[[#This Row],[Kolumna1223]]*12</f>
        <v>1440</v>
      </c>
      <c r="Z87" s="28" t="n">
        <f aca="false">Tabela43[[#This Row],[Kolumna123]]/0.55</f>
        <v>2618.18181818182</v>
      </c>
      <c r="AA87" s="125"/>
      <c r="AB87" s="125"/>
      <c r="AC87" s="125" t="n">
        <f aca="false">Tabela54[[#This Row],[Kolumna22]]*12</f>
        <v>0</v>
      </c>
      <c r="AD87" s="122" t="n">
        <f aca="false">Tabela54[[#This Row],[Kolumna3]]/4.44</f>
        <v>0</v>
      </c>
      <c r="AE87" s="120" t="n">
        <f aca="false">Tabela54[[#This Row],[Kolumna23]]*Tabela54[[#This Row],[Kolumna63]]</f>
        <v>0</v>
      </c>
      <c r="AF87" s="120"/>
      <c r="AG87" s="122" t="n">
        <f aca="false">Tabela54[[#This Row],[Kolumna12]]*12</f>
        <v>0</v>
      </c>
      <c r="AH87" s="122" t="n">
        <f aca="false">Tabela54[[#This Row],[Kolumna222]]/1.59</f>
        <v>0</v>
      </c>
      <c r="AI87" s="119" t="n">
        <f aca="false">Tabela54[[#This Row],[Kolumna223]]*Tabela54[[#This Row],[Kolumna63]]</f>
        <v>0</v>
      </c>
      <c r="AJ87" s="119" t="n">
        <v>300</v>
      </c>
      <c r="AK87" s="122" t="n">
        <f aca="false">Tabela54[[#This Row],[Kolumna34]]*12</f>
        <v>3600</v>
      </c>
      <c r="AL87" s="122" t="n">
        <f aca="false">Tabela54[[#This Row],[Kolumna32]]/4.2</f>
        <v>857.142857142857</v>
      </c>
      <c r="AM87" s="119" t="n">
        <f aca="false">Tabela54[[#This Row],[Kolumna322]]*Tabela54[[#This Row],[Kolumna63]]</f>
        <v>342.857142857143</v>
      </c>
      <c r="AN87" s="122"/>
      <c r="AO87" s="122" t="n">
        <f aca="false">Tabela54[[#This Row],[Kolumna5]]*Tabela54[[#This Row],[Kolumna63]]</f>
        <v>0</v>
      </c>
      <c r="AP87" s="53" t="n">
        <v>0.4</v>
      </c>
      <c r="AQ87" s="29"/>
      <c r="AR87" s="29"/>
      <c r="AS87" s="29"/>
      <c r="AT87" s="29"/>
    </row>
    <row r="88" customFormat="false" ht="30" hidden="false" customHeight="true" outlineLevel="0" collapsed="false">
      <c r="A88" s="25" t="n">
        <v>81</v>
      </c>
      <c r="B88" s="27" t="s">
        <v>241</v>
      </c>
      <c r="C88" s="49" t="s">
        <v>242</v>
      </c>
      <c r="D88" s="134"/>
      <c r="E88" s="135" t="n">
        <v>110</v>
      </c>
      <c r="F8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321.36612</v>
      </c>
      <c r="G88" s="135"/>
      <c r="H88" s="130" t="n">
        <v>3</v>
      </c>
      <c r="I88" s="26" t="n">
        <f aca="false">Tabela43[[#This Row],[Kolumna5]]*20700*0.27778</f>
        <v>17250.138</v>
      </c>
      <c r="J88" s="130"/>
      <c r="K88" s="130"/>
      <c r="L88" s="28" t="n">
        <f aca="false">Tabela43[[#This Row],[Kolumna8]]*0.000843882*40190*0.27778</f>
        <v>0</v>
      </c>
      <c r="M88" s="130"/>
      <c r="N88" s="146" t="n">
        <f aca="false">Tabela43[[#This Row],[Kolumna84]]/2.55</f>
        <v>0</v>
      </c>
      <c r="O88" s="28" t="n">
        <f aca="false">Tabela43[[#This Row],[Kolumna82]]*35.94*0.27778</f>
        <v>0</v>
      </c>
      <c r="P88" s="130"/>
      <c r="Q88" s="130"/>
      <c r="R88" s="130" t="n">
        <v>6</v>
      </c>
      <c r="S88" s="116" t="n">
        <f aca="false">Tabela43[[#This Row],[Kolumna92]]*0.65</f>
        <v>3.9</v>
      </c>
      <c r="T88" s="28" t="n">
        <f aca="false">Tabela43[[#This Row],[Kolumna10]]*15600*0.27778</f>
        <v>16900.1352</v>
      </c>
      <c r="U88" s="143"/>
      <c r="V88" s="130"/>
      <c r="W88" s="130"/>
      <c r="X88" s="130" t="n">
        <v>100</v>
      </c>
      <c r="Y88" s="130" t="n">
        <f aca="false">Tabela43[[#This Row],[Kolumna1223]]*12</f>
        <v>1200</v>
      </c>
      <c r="Z88" s="28" t="n">
        <f aca="false">Tabela43[[#This Row],[Kolumna123]]/0.55</f>
        <v>2181.81818181818</v>
      </c>
      <c r="AA88" s="125"/>
      <c r="AB88" s="125" t="n">
        <v>200</v>
      </c>
      <c r="AC88" s="125" t="n">
        <f aca="false">Tabela54[[#This Row],[Kolumna22]]*12</f>
        <v>2400</v>
      </c>
      <c r="AD88" s="122" t="n">
        <f aca="false">Tabela54[[#This Row],[Kolumna3]]/4.44</f>
        <v>540.540540540541</v>
      </c>
      <c r="AE88" s="120" t="n">
        <f aca="false">Tabela54[[#This Row],[Kolumna23]]*Tabela54[[#This Row],[Kolumna63]]</f>
        <v>324.324324324324</v>
      </c>
      <c r="AF88" s="120" t="n">
        <v>100</v>
      </c>
      <c r="AG88" s="122" t="n">
        <f aca="false">Tabela54[[#This Row],[Kolumna12]]*12</f>
        <v>1200</v>
      </c>
      <c r="AH88" s="122" t="n">
        <f aca="false">Tabela54[[#This Row],[Kolumna222]]/1.59</f>
        <v>754.716981132076</v>
      </c>
      <c r="AI88" s="119" t="n">
        <f aca="false">Tabela54[[#This Row],[Kolumna223]]*Tabela54[[#This Row],[Kolumna63]]</f>
        <v>452.830188679245</v>
      </c>
      <c r="AJ88" s="119"/>
      <c r="AK88" s="122" t="n">
        <f aca="false">Tabela54[[#This Row],[Kolumna34]]*12</f>
        <v>0</v>
      </c>
      <c r="AL88" s="122" t="n">
        <f aca="false">Tabela54[[#This Row],[Kolumna32]]/4.2</f>
        <v>0</v>
      </c>
      <c r="AM88" s="119" t="n">
        <f aca="false">Tabela54[[#This Row],[Kolumna322]]*Tabela54[[#This Row],[Kolumna63]]</f>
        <v>0</v>
      </c>
      <c r="AN88" s="122"/>
      <c r="AO88" s="122" t="n">
        <f aca="false">Tabela54[[#This Row],[Kolumna5]]*Tabela54[[#This Row],[Kolumna63]]</f>
        <v>0</v>
      </c>
      <c r="AP88" s="53" t="n">
        <v>0.6</v>
      </c>
      <c r="AQ88" s="29"/>
      <c r="AR88" s="29"/>
      <c r="AS88" s="29"/>
      <c r="AT88" s="29"/>
    </row>
    <row r="89" customFormat="false" ht="30" hidden="false" customHeight="true" outlineLevel="0" collapsed="false">
      <c r="A89" s="25" t="n">
        <v>82</v>
      </c>
      <c r="B89" s="27" t="s">
        <v>241</v>
      </c>
      <c r="C89" s="49" t="s">
        <v>242</v>
      </c>
      <c r="D89" s="134"/>
      <c r="E89" s="135" t="n">
        <v>60</v>
      </c>
      <c r="F8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358.44712</v>
      </c>
      <c r="G89" s="135"/>
      <c r="H89" s="130" t="n">
        <v>3</v>
      </c>
      <c r="I89" s="26" t="n">
        <f aca="false">Tabela43[[#This Row],[Kolumna5]]*20700*0.27778</f>
        <v>17250.138</v>
      </c>
      <c r="J89" s="130"/>
      <c r="K89" s="130"/>
      <c r="L89" s="28" t="n">
        <f aca="false">Tabela43[[#This Row],[Kolumna8]]*0.000843882*40190*0.27778</f>
        <v>0</v>
      </c>
      <c r="M89" s="130"/>
      <c r="N89" s="146" t="n">
        <f aca="false">Tabela43[[#This Row],[Kolumna84]]/2.55</f>
        <v>0</v>
      </c>
      <c r="O89" s="28" t="n">
        <f aca="false">Tabela43[[#This Row],[Kolumna82]]*35.94*0.27778</f>
        <v>0</v>
      </c>
      <c r="P89" s="130"/>
      <c r="Q89" s="130"/>
      <c r="R89" s="130" t="n">
        <v>1</v>
      </c>
      <c r="S89" s="116" t="n">
        <f aca="false">Tabela43[[#This Row],[Kolumna92]]*0.65</f>
        <v>0.65</v>
      </c>
      <c r="T89" s="28" t="n">
        <f aca="false">Tabela43[[#This Row],[Kolumna10]]*15600*0.27778</f>
        <v>2816.6892</v>
      </c>
      <c r="U89" s="130"/>
      <c r="V89" s="130"/>
      <c r="W89" s="130"/>
      <c r="X89" s="130" t="n">
        <v>120</v>
      </c>
      <c r="Y89" s="130" t="n">
        <f aca="false">Tabela43[[#This Row],[Kolumna1223]]*12</f>
        <v>1440</v>
      </c>
      <c r="Z89" s="28" t="n">
        <f aca="false">Tabela43[[#This Row],[Kolumna123]]/0.55</f>
        <v>2618.18181818182</v>
      </c>
      <c r="AA89" s="125"/>
      <c r="AB89" s="125" t="n">
        <v>300</v>
      </c>
      <c r="AC89" s="125" t="n">
        <f aca="false">Tabela54[[#This Row],[Kolumna22]]*12</f>
        <v>3600</v>
      </c>
      <c r="AD89" s="122" t="n">
        <f aca="false">Tabela54[[#This Row],[Kolumna3]]/4.44</f>
        <v>810.810810810811</v>
      </c>
      <c r="AE89" s="120" t="n">
        <f aca="false">Tabela54[[#This Row],[Kolumna23]]*Tabela54[[#This Row],[Kolumna63]]</f>
        <v>405.405405405405</v>
      </c>
      <c r="AF89" s="120"/>
      <c r="AG89" s="122" t="n">
        <f aca="false">Tabela54[[#This Row],[Kolumna12]]*12</f>
        <v>0</v>
      </c>
      <c r="AH89" s="122" t="n">
        <f aca="false">Tabela54[[#This Row],[Kolumna222]]/1.59</f>
        <v>0</v>
      </c>
      <c r="AI89" s="119" t="n">
        <f aca="false">Tabela54[[#This Row],[Kolumna223]]*Tabela54[[#This Row],[Kolumna63]]</f>
        <v>0</v>
      </c>
      <c r="AJ89" s="119"/>
      <c r="AK89" s="122" t="n">
        <f aca="false">Tabela54[[#This Row],[Kolumna34]]*12</f>
        <v>0</v>
      </c>
      <c r="AL89" s="122" t="n">
        <f aca="false">Tabela54[[#This Row],[Kolumna32]]/4.2</f>
        <v>0</v>
      </c>
      <c r="AM89" s="119" t="n">
        <f aca="false">Tabela54[[#This Row],[Kolumna322]]*Tabela54[[#This Row],[Kolumna63]]</f>
        <v>0</v>
      </c>
      <c r="AN89" s="122"/>
      <c r="AO89" s="122" t="n">
        <f aca="false">Tabela54[[#This Row],[Kolumna5]]*Tabela54[[#This Row],[Kolumna63]]</f>
        <v>0</v>
      </c>
      <c r="AP89" s="53" t="n">
        <v>0.5</v>
      </c>
      <c r="AQ89" s="29"/>
      <c r="AR89" s="29"/>
      <c r="AS89" s="29"/>
      <c r="AT89" s="29"/>
    </row>
    <row r="90" customFormat="false" ht="30" hidden="false" customHeight="true" outlineLevel="0" collapsed="false">
      <c r="A90" s="40" t="n">
        <v>83</v>
      </c>
      <c r="B90" s="27" t="s">
        <v>241</v>
      </c>
      <c r="C90" s="49" t="s">
        <v>242</v>
      </c>
      <c r="D90" s="134"/>
      <c r="E90" s="135" t="n">
        <v>100</v>
      </c>
      <c r="F9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359.502732</v>
      </c>
      <c r="G90" s="135"/>
      <c r="H90" s="130" t="n">
        <v>3</v>
      </c>
      <c r="I90" s="26" t="n">
        <f aca="false">Tabela43[[#This Row],[Kolumna5]]*20700*0.27778</f>
        <v>17250.138</v>
      </c>
      <c r="J90" s="130"/>
      <c r="K90" s="130"/>
      <c r="L90" s="28" t="n">
        <f aca="false">Tabela43[[#This Row],[Kolumna8]]*0.000843882*40190*0.27778</f>
        <v>0</v>
      </c>
      <c r="M90" s="130"/>
      <c r="N90" s="146" t="n">
        <f aca="false">Tabela43[[#This Row],[Kolumna84]]/2.55</f>
        <v>0</v>
      </c>
      <c r="O90" s="28" t="n">
        <f aca="false">Tabela43[[#This Row],[Kolumna82]]*35.94*0.27778</f>
        <v>0</v>
      </c>
      <c r="P90" s="130"/>
      <c r="Q90" s="130"/>
      <c r="R90" s="130" t="n">
        <v>6</v>
      </c>
      <c r="S90" s="116" t="n">
        <f aca="false">Tabela43[[#This Row],[Kolumna92]]*0.65</f>
        <v>3.9</v>
      </c>
      <c r="T90" s="28" t="n">
        <f aca="false">Tabela43[[#This Row],[Kolumna10]]*15600*0.27778</f>
        <v>16900.1352</v>
      </c>
      <c r="U90" s="130"/>
      <c r="V90" s="130"/>
      <c r="W90" s="130"/>
      <c r="X90" s="130" t="n">
        <v>150</v>
      </c>
      <c r="Y90" s="130" t="n">
        <f aca="false">Tabela43[[#This Row],[Kolumna1223]]*12</f>
        <v>1800</v>
      </c>
      <c r="Z90" s="28" t="n">
        <f aca="false">Tabela43[[#This Row],[Kolumna123]]/0.55</f>
        <v>3272.72727272727</v>
      </c>
      <c r="AA90" s="125"/>
      <c r="AB90" s="125"/>
      <c r="AC90" s="125" t="n">
        <f aca="false">Tabela54[[#This Row],[Kolumna22]]*12</f>
        <v>0</v>
      </c>
      <c r="AD90" s="122" t="n">
        <f aca="false">Tabela54[[#This Row],[Kolumna3]]/4.44</f>
        <v>0</v>
      </c>
      <c r="AE90" s="120" t="n">
        <f aca="false">Tabela54[[#This Row],[Kolumna23]]*Tabela54[[#This Row],[Kolumna63]]</f>
        <v>0</v>
      </c>
      <c r="AF90" s="120"/>
      <c r="AG90" s="122" t="n">
        <f aca="false">Tabela54[[#This Row],[Kolumna12]]*12</f>
        <v>0</v>
      </c>
      <c r="AH90" s="122" t="n">
        <f aca="false">Tabela54[[#This Row],[Kolumna222]]/1.59</f>
        <v>0</v>
      </c>
      <c r="AI90" s="119" t="n">
        <f aca="false">Tabela54[[#This Row],[Kolumna223]]*Tabela54[[#This Row],[Kolumna63]]</f>
        <v>0</v>
      </c>
      <c r="AJ90" s="119" t="n">
        <v>300</v>
      </c>
      <c r="AK90" s="122" t="n">
        <f aca="false">Tabela54[[#This Row],[Kolumna34]]*12</f>
        <v>3600</v>
      </c>
      <c r="AL90" s="122" t="n">
        <f aca="false">Tabela54[[#This Row],[Kolumna32]]/4.2</f>
        <v>857.142857142857</v>
      </c>
      <c r="AM90" s="119" t="n">
        <f aca="false">Tabela54[[#This Row],[Kolumna322]]*Tabela54[[#This Row],[Kolumna63]]</f>
        <v>257.142857142857</v>
      </c>
      <c r="AN90" s="122"/>
      <c r="AO90" s="122" t="n">
        <f aca="false">Tabela54[[#This Row],[Kolumna5]]*Tabela54[[#This Row],[Kolumna63]]</f>
        <v>0</v>
      </c>
      <c r="AP90" s="53" t="n">
        <v>0.3</v>
      </c>
      <c r="AQ90" s="29"/>
      <c r="AR90" s="29"/>
      <c r="AS90" s="29"/>
      <c r="AT90" s="29"/>
    </row>
    <row r="91" customFormat="false" ht="30" hidden="false" customHeight="true" outlineLevel="0" collapsed="false">
      <c r="A91" s="25" t="n">
        <v>84</v>
      </c>
      <c r="B91" s="27" t="s">
        <v>241</v>
      </c>
      <c r="C91" s="49" t="s">
        <v>242</v>
      </c>
      <c r="D91" s="134"/>
      <c r="E91" s="135" t="n">
        <v>120</v>
      </c>
      <c r="F9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345.5582</v>
      </c>
      <c r="G91" s="135"/>
      <c r="H91" s="130" t="n">
        <v>2</v>
      </c>
      <c r="I91" s="26" t="n">
        <f aca="false">Tabela43[[#This Row],[Kolumna5]]*20700*0.27778</f>
        <v>11500.092</v>
      </c>
      <c r="J91" s="130"/>
      <c r="K91" s="130"/>
      <c r="L91" s="28" t="n">
        <f aca="false">Tabela43[[#This Row],[Kolumna8]]*0.000843882*40190*0.27778</f>
        <v>0</v>
      </c>
      <c r="M91" s="130"/>
      <c r="N91" s="146" t="n">
        <f aca="false">Tabela43[[#This Row],[Kolumna84]]/2.55</f>
        <v>0</v>
      </c>
      <c r="O91" s="28" t="n">
        <f aca="false">Tabela43[[#This Row],[Kolumna82]]*35.94*0.27778</f>
        <v>0</v>
      </c>
      <c r="P91" s="130"/>
      <c r="Q91" s="130"/>
      <c r="R91" s="130" t="n">
        <v>10</v>
      </c>
      <c r="S91" s="116" t="n">
        <f aca="false">Tabela43[[#This Row],[Kolumna92]]*0.65</f>
        <v>6.5</v>
      </c>
      <c r="T91" s="28" t="n">
        <f aca="false">Tabela43[[#This Row],[Kolumna10]]*15600*0.27778</f>
        <v>28166.892</v>
      </c>
      <c r="U91" s="130"/>
      <c r="V91" s="130"/>
      <c r="W91" s="130"/>
      <c r="X91" s="130" t="n">
        <v>150</v>
      </c>
      <c r="Y91" s="130" t="n">
        <f aca="false">Tabela43[[#This Row],[Kolumna1223]]*12</f>
        <v>1800</v>
      </c>
      <c r="Z91" s="28" t="n">
        <f aca="false">Tabela43[[#This Row],[Kolumna123]]/0.55</f>
        <v>3272.72727272727</v>
      </c>
      <c r="AA91" s="125"/>
      <c r="AB91" s="125" t="n">
        <v>200</v>
      </c>
      <c r="AC91" s="125" t="n">
        <f aca="false">Tabela54[[#This Row],[Kolumna22]]*12</f>
        <v>2400</v>
      </c>
      <c r="AD91" s="122" t="n">
        <f aca="false">Tabela54[[#This Row],[Kolumna3]]/4.44</f>
        <v>540.540540540541</v>
      </c>
      <c r="AE91" s="120" t="n">
        <f aca="false">Tabela54[[#This Row],[Kolumna23]]*Tabela54[[#This Row],[Kolumna63]]</f>
        <v>54.0540540540541</v>
      </c>
      <c r="AF91" s="120"/>
      <c r="AG91" s="122" t="n">
        <f aca="false">Tabela54[[#This Row],[Kolumna12]]*12</f>
        <v>0</v>
      </c>
      <c r="AH91" s="122" t="n">
        <f aca="false">Tabela54[[#This Row],[Kolumna222]]/1.59</f>
        <v>0</v>
      </c>
      <c r="AI91" s="119" t="n">
        <f aca="false">Tabela54[[#This Row],[Kolumna223]]*Tabela54[[#This Row],[Kolumna63]]</f>
        <v>0</v>
      </c>
      <c r="AJ91" s="119"/>
      <c r="AK91" s="122" t="n">
        <f aca="false">Tabela54[[#This Row],[Kolumna34]]*12</f>
        <v>0</v>
      </c>
      <c r="AL91" s="122" t="n">
        <f aca="false">Tabela54[[#This Row],[Kolumna32]]/4.2</f>
        <v>0</v>
      </c>
      <c r="AM91" s="119" t="n">
        <f aca="false">Tabela54[[#This Row],[Kolumna322]]*Tabela54[[#This Row],[Kolumna63]]</f>
        <v>0</v>
      </c>
      <c r="AN91" s="122"/>
      <c r="AO91" s="122" t="n">
        <f aca="false">Tabela54[[#This Row],[Kolumna5]]*Tabela54[[#This Row],[Kolumna63]]</f>
        <v>0</v>
      </c>
      <c r="AP91" s="53" t="n">
        <v>0.1</v>
      </c>
      <c r="AQ91" s="29"/>
      <c r="AR91" s="29"/>
      <c r="AS91" s="29"/>
      <c r="AT91" s="29"/>
    </row>
    <row r="92" customFormat="false" ht="30" hidden="false" customHeight="true" outlineLevel="0" collapsed="false">
      <c r="A92" s="25" t="n">
        <v>85</v>
      </c>
      <c r="B92" s="27" t="s">
        <v>241</v>
      </c>
      <c r="C92" s="49" t="s">
        <v>247</v>
      </c>
      <c r="D92" s="134"/>
      <c r="E92" s="135" t="n">
        <v>160</v>
      </c>
      <c r="F9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192.50142</v>
      </c>
      <c r="G92" s="135"/>
      <c r="H92" s="130" t="n">
        <v>2</v>
      </c>
      <c r="I92" s="26" t="n">
        <f aca="false">Tabela43[[#This Row],[Kolumna5]]*20700*0.27778</f>
        <v>11500.092</v>
      </c>
      <c r="J92" s="130"/>
      <c r="K92" s="130"/>
      <c r="L92" s="28" t="n">
        <f aca="false">Tabela43[[#This Row],[Kolumna8]]*0.000843882*40190*0.27778</f>
        <v>0</v>
      </c>
      <c r="M92" s="130"/>
      <c r="N92" s="146" t="n">
        <f aca="false">Tabela43[[#This Row],[Kolumna84]]/2.55</f>
        <v>0</v>
      </c>
      <c r="O92" s="28" t="n">
        <f aca="false">Tabela43[[#This Row],[Kolumna82]]*35.94*0.27778</f>
        <v>0</v>
      </c>
      <c r="P92" s="130"/>
      <c r="Q92" s="130"/>
      <c r="R92" s="130" t="n">
        <v>6</v>
      </c>
      <c r="S92" s="116" t="n">
        <f aca="false">Tabela43[[#This Row],[Kolumna92]]*0.65</f>
        <v>3.9</v>
      </c>
      <c r="T92" s="28" t="n">
        <f aca="false">Tabela43[[#This Row],[Kolumna10]]*15600*0.27778</f>
        <v>16900.1352</v>
      </c>
      <c r="U92" s="130"/>
      <c r="V92" s="130"/>
      <c r="W92" s="130"/>
      <c r="X92" s="130" t="n">
        <v>200</v>
      </c>
      <c r="Y92" s="130" t="n">
        <f aca="false">Tabela43[[#This Row],[Kolumna1223]]*12</f>
        <v>2400</v>
      </c>
      <c r="Z92" s="28" t="n">
        <f aca="false">Tabela43[[#This Row],[Kolumna123]]/0.55</f>
        <v>4363.63636363636</v>
      </c>
      <c r="AA92" s="125"/>
      <c r="AB92" s="125" t="n">
        <v>500</v>
      </c>
      <c r="AC92" s="125" t="n">
        <f aca="false">Tabela54[[#This Row],[Kolumna22]]*12</f>
        <v>6000</v>
      </c>
      <c r="AD92" s="122" t="n">
        <f aca="false">Tabela54[[#This Row],[Kolumna3]]/4.44</f>
        <v>1351.35135135135</v>
      </c>
      <c r="AE92" s="120" t="n">
        <f aca="false">Tabela54[[#This Row],[Kolumna23]]*Tabela54[[#This Row],[Kolumna63]]</f>
        <v>675.675675675676</v>
      </c>
      <c r="AF92" s="120"/>
      <c r="AG92" s="122" t="n">
        <f aca="false">Tabela54[[#This Row],[Kolumna12]]*12</f>
        <v>0</v>
      </c>
      <c r="AH92" s="122" t="n">
        <f aca="false">Tabela54[[#This Row],[Kolumna222]]/1.59</f>
        <v>0</v>
      </c>
      <c r="AI92" s="119" t="n">
        <f aca="false">Tabela54[[#This Row],[Kolumna223]]*Tabela54[[#This Row],[Kolumna63]]</f>
        <v>0</v>
      </c>
      <c r="AJ92" s="119"/>
      <c r="AK92" s="122" t="n">
        <f aca="false">Tabela54[[#This Row],[Kolumna34]]*12</f>
        <v>0</v>
      </c>
      <c r="AL92" s="122" t="n">
        <f aca="false">Tabela54[[#This Row],[Kolumna32]]/4.2</f>
        <v>0</v>
      </c>
      <c r="AM92" s="119" t="n">
        <f aca="false">Tabela54[[#This Row],[Kolumna322]]*Tabela54[[#This Row],[Kolumna63]]</f>
        <v>0</v>
      </c>
      <c r="AN92" s="122"/>
      <c r="AO92" s="122" t="n">
        <f aca="false">Tabela54[[#This Row],[Kolumna5]]*Tabela54[[#This Row],[Kolumna63]]</f>
        <v>0</v>
      </c>
      <c r="AP92" s="53" t="n">
        <v>0.5</v>
      </c>
      <c r="AQ92" s="29"/>
      <c r="AR92" s="29"/>
      <c r="AS92" s="29"/>
      <c r="AT92" s="29"/>
    </row>
    <row r="93" customFormat="false" ht="30" hidden="false" customHeight="true" outlineLevel="0" collapsed="false">
      <c r="A93" s="40" t="n">
        <v>86</v>
      </c>
      <c r="B93" s="27" t="s">
        <v>241</v>
      </c>
      <c r="C93" s="49" t="s">
        <v>247</v>
      </c>
      <c r="D93" s="134"/>
      <c r="E93" s="135" t="n">
        <v>120</v>
      </c>
      <c r="F9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353.5582</v>
      </c>
      <c r="G93" s="135"/>
      <c r="H93" s="130" t="n">
        <v>2</v>
      </c>
      <c r="I93" s="26" t="n">
        <f aca="false">Tabela43[[#This Row],[Kolumna5]]*20700*0.27778</f>
        <v>11500.092</v>
      </c>
      <c r="J93" s="130"/>
      <c r="K93" s="130"/>
      <c r="L93" s="28" t="n">
        <f aca="false">Tabela43[[#This Row],[Kolumna8]]*0.000843882*40190*0.27778</f>
        <v>0</v>
      </c>
      <c r="M93" s="130"/>
      <c r="N93" s="146" t="n">
        <f aca="false">Tabela43[[#This Row],[Kolumna84]]/2.55</f>
        <v>0</v>
      </c>
      <c r="O93" s="28" t="n">
        <f aca="false">Tabela43[[#This Row],[Kolumna82]]*35.94*0.27778</f>
        <v>0</v>
      </c>
      <c r="P93" s="130"/>
      <c r="Q93" s="130"/>
      <c r="R93" s="130" t="n">
        <v>10</v>
      </c>
      <c r="S93" s="116" t="n">
        <f aca="false">Tabela43[[#This Row],[Kolumna92]]*0.65</f>
        <v>6.5</v>
      </c>
      <c r="T93" s="28" t="n">
        <f aca="false">Tabela43[[#This Row],[Kolumna10]]*15600*0.27778</f>
        <v>28166.892</v>
      </c>
      <c r="U93" s="130"/>
      <c r="V93" s="130"/>
      <c r="W93" s="130"/>
      <c r="X93" s="130" t="n">
        <v>230</v>
      </c>
      <c r="Y93" s="130" t="n">
        <f aca="false">Tabela43[[#This Row],[Kolumna1223]]*12</f>
        <v>2760</v>
      </c>
      <c r="Z93" s="28" t="n">
        <f aca="false">Tabela43[[#This Row],[Kolumna123]]/0.55</f>
        <v>5018.18181818182</v>
      </c>
      <c r="AA93" s="125"/>
      <c r="AB93" s="125"/>
      <c r="AC93" s="125" t="n">
        <f aca="false">Tabela54[[#This Row],[Kolumna22]]*12</f>
        <v>0</v>
      </c>
      <c r="AD93" s="122" t="n">
        <f aca="false">Tabela54[[#This Row],[Kolumna3]]/4.44</f>
        <v>0</v>
      </c>
      <c r="AE93" s="120" t="n">
        <f aca="false">Tabela54[[#This Row],[Kolumna23]]*Tabela54[[#This Row],[Kolumna63]]</f>
        <v>0</v>
      </c>
      <c r="AF93" s="120"/>
      <c r="AG93" s="122" t="n">
        <f aca="false">Tabela54[[#This Row],[Kolumna12]]*12</f>
        <v>0</v>
      </c>
      <c r="AH93" s="122" t="n">
        <f aca="false">Tabela54[[#This Row],[Kolumna222]]/1.59</f>
        <v>0</v>
      </c>
      <c r="AI93" s="119" t="n">
        <f aca="false">Tabela54[[#This Row],[Kolumna223]]*Tabela54[[#This Row],[Kolumna63]]</f>
        <v>0</v>
      </c>
      <c r="AJ93" s="119" t="n">
        <v>400</v>
      </c>
      <c r="AK93" s="122" t="n">
        <f aca="false">Tabela54[[#This Row],[Kolumna34]]*12</f>
        <v>4800</v>
      </c>
      <c r="AL93" s="122" t="n">
        <f aca="false">Tabela54[[#This Row],[Kolumna32]]/4.2</f>
        <v>1142.85714285714</v>
      </c>
      <c r="AM93" s="119" t="n">
        <f aca="false">Tabela54[[#This Row],[Kolumna322]]*Tabela54[[#This Row],[Kolumna63]]</f>
        <v>457.142857142857</v>
      </c>
      <c r="AN93" s="122"/>
      <c r="AO93" s="122" t="n">
        <f aca="false">Tabela54[[#This Row],[Kolumna5]]*Tabela54[[#This Row],[Kolumna63]]</f>
        <v>0</v>
      </c>
      <c r="AP93" s="53" t="n">
        <v>0.4</v>
      </c>
      <c r="AQ93" s="29"/>
      <c r="AR93" s="29"/>
      <c r="AS93" s="29"/>
      <c r="AT93" s="29"/>
    </row>
    <row r="94" customFormat="false" ht="30" hidden="false" customHeight="true" outlineLevel="0" collapsed="false">
      <c r="A94" s="25" t="n">
        <v>87</v>
      </c>
      <c r="B94" s="27" t="s">
        <v>241</v>
      </c>
      <c r="C94" s="49" t="s">
        <v>247</v>
      </c>
      <c r="D94" s="134"/>
      <c r="E94" s="135" t="n">
        <v>80</v>
      </c>
      <c r="F9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445.00338</v>
      </c>
      <c r="G94" s="135"/>
      <c r="H94" s="130"/>
      <c r="I94" s="26" t="n">
        <f aca="false">Tabela43[[#This Row],[Kolumna5]]*20700*0.27778</f>
        <v>0</v>
      </c>
      <c r="J94" s="130"/>
      <c r="K94" s="130"/>
      <c r="L94" s="28" t="n">
        <f aca="false">Tabela43[[#This Row],[Kolumna8]]*0.000843882*40190*0.27778</f>
        <v>0</v>
      </c>
      <c r="M94" s="130"/>
      <c r="N94" s="146" t="n">
        <f aca="false">Tabela43[[#This Row],[Kolumna84]]/2.55</f>
        <v>0</v>
      </c>
      <c r="O94" s="28" t="n">
        <f aca="false">Tabela43[[#This Row],[Kolumna82]]*35.94*0.27778</f>
        <v>0</v>
      </c>
      <c r="P94" s="130" t="n">
        <v>12</v>
      </c>
      <c r="Q94" s="130"/>
      <c r="R94" s="130" t="n">
        <v>12</v>
      </c>
      <c r="S94" s="116" t="n">
        <f aca="false">Tabela43[[#This Row],[Kolumna92]]*0.65</f>
        <v>7.8</v>
      </c>
      <c r="T94" s="28" t="n">
        <f aca="false">Tabela43[[#This Row],[Kolumna10]]*15600*0.27778</f>
        <v>33800.2704</v>
      </c>
      <c r="U94" s="130"/>
      <c r="V94" s="130"/>
      <c r="W94" s="130"/>
      <c r="X94" s="130" t="n">
        <v>150</v>
      </c>
      <c r="Y94" s="130" t="n">
        <f aca="false">Tabela43[[#This Row],[Kolumna1223]]*12</f>
        <v>1800</v>
      </c>
      <c r="Z94" s="28" t="n">
        <f aca="false">Tabela43[[#This Row],[Kolumna123]]/0.55</f>
        <v>3272.72727272727</v>
      </c>
      <c r="AA94" s="125"/>
      <c r="AB94" s="125" t="n">
        <v>200</v>
      </c>
      <c r="AC94" s="125" t="n">
        <f aca="false">Tabela54[[#This Row],[Kolumna22]]*12</f>
        <v>2400</v>
      </c>
      <c r="AD94" s="122" t="n">
        <f aca="false">Tabela54[[#This Row],[Kolumna3]]/4.44</f>
        <v>540.540540540541</v>
      </c>
      <c r="AE94" s="120" t="n">
        <f aca="false">Tabela54[[#This Row],[Kolumna23]]*Tabela54[[#This Row],[Kolumna63]]</f>
        <v>108.108108108108</v>
      </c>
      <c r="AF94" s="120"/>
      <c r="AG94" s="122" t="n">
        <f aca="false">Tabela54[[#This Row],[Kolumna12]]*12</f>
        <v>0</v>
      </c>
      <c r="AH94" s="122" t="n">
        <f aca="false">Tabela54[[#This Row],[Kolumna222]]/1.59</f>
        <v>0</v>
      </c>
      <c r="AI94" s="119" t="n">
        <f aca="false">Tabela54[[#This Row],[Kolumna223]]*Tabela54[[#This Row],[Kolumna63]]</f>
        <v>0</v>
      </c>
      <c r="AJ94" s="119"/>
      <c r="AK94" s="122" t="n">
        <f aca="false">Tabela54[[#This Row],[Kolumna34]]*12</f>
        <v>0</v>
      </c>
      <c r="AL94" s="122" t="n">
        <f aca="false">Tabela54[[#This Row],[Kolumna32]]/4.2</f>
        <v>0</v>
      </c>
      <c r="AM94" s="119" t="n">
        <f aca="false">Tabela54[[#This Row],[Kolumna322]]*Tabela54[[#This Row],[Kolumna63]]</f>
        <v>0</v>
      </c>
      <c r="AN94" s="122"/>
      <c r="AO94" s="122" t="n">
        <f aca="false">Tabela54[[#This Row],[Kolumna5]]*Tabela54[[#This Row],[Kolumna63]]</f>
        <v>0</v>
      </c>
      <c r="AP94" s="53" t="n">
        <v>0.2</v>
      </c>
      <c r="AQ94" s="29"/>
      <c r="AR94" s="29"/>
      <c r="AS94" s="29"/>
      <c r="AT94" s="29"/>
    </row>
    <row r="95" customFormat="false" ht="30" hidden="false" customHeight="true" outlineLevel="0" collapsed="false">
      <c r="A95" s="25" t="n">
        <v>88</v>
      </c>
      <c r="B95" s="27" t="s">
        <v>241</v>
      </c>
      <c r="C95" s="49" t="s">
        <v>248</v>
      </c>
      <c r="D95" s="134"/>
      <c r="E95" s="135" t="n">
        <v>160</v>
      </c>
      <c r="F9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229.16838</v>
      </c>
      <c r="G95" s="135"/>
      <c r="H95" s="130" t="n">
        <v>4</v>
      </c>
      <c r="I95" s="26" t="n">
        <f aca="false">Tabela43[[#This Row],[Kolumna5]]*20700*0.27778</f>
        <v>23000.184</v>
      </c>
      <c r="J95" s="130"/>
      <c r="K95" s="130"/>
      <c r="L95" s="28" t="n">
        <f aca="false">Tabela43[[#This Row],[Kolumna8]]*0.000843882*40190*0.27778</f>
        <v>0</v>
      </c>
      <c r="M95" s="130"/>
      <c r="N95" s="146" t="n">
        <f aca="false">Tabela43[[#This Row],[Kolumna84]]/2.55</f>
        <v>0</v>
      </c>
      <c r="O95" s="28" t="n">
        <f aca="false">Tabela43[[#This Row],[Kolumna82]]*35.94*0.27778</f>
        <v>0</v>
      </c>
      <c r="P95" s="130"/>
      <c r="Q95" s="130"/>
      <c r="R95" s="130" t="n">
        <v>4</v>
      </c>
      <c r="S95" s="116" t="n">
        <f aca="false">Tabela43[[#This Row],[Kolumna92]]*0.65</f>
        <v>2.6</v>
      </c>
      <c r="T95" s="28" t="n">
        <f aca="false">Tabela43[[#This Row],[Kolumna10]]*15600*0.27778</f>
        <v>11266.7568</v>
      </c>
      <c r="U95" s="130"/>
      <c r="V95" s="130"/>
      <c r="W95" s="130"/>
      <c r="X95" s="130" t="n">
        <v>200</v>
      </c>
      <c r="Y95" s="130" t="n">
        <f aca="false">Tabela43[[#This Row],[Kolumna1223]]*12</f>
        <v>2400</v>
      </c>
      <c r="Z95" s="28" t="n">
        <f aca="false">Tabela43[[#This Row],[Kolumna123]]/0.55</f>
        <v>4363.63636363636</v>
      </c>
      <c r="AA95" s="125"/>
      <c r="AB95" s="125"/>
      <c r="AC95" s="125" t="n">
        <f aca="false">Tabela54[[#This Row],[Kolumna22]]*12</f>
        <v>0</v>
      </c>
      <c r="AD95" s="122" t="n">
        <f aca="false">Tabela54[[#This Row],[Kolumna3]]/4.44</f>
        <v>0</v>
      </c>
      <c r="AE95" s="120" t="n">
        <f aca="false">Tabela54[[#This Row],[Kolumna23]]*Tabela54[[#This Row],[Kolumna63]]</f>
        <v>0</v>
      </c>
      <c r="AF95" s="120"/>
      <c r="AG95" s="122" t="n">
        <f aca="false">Tabela54[[#This Row],[Kolumna12]]*12</f>
        <v>0</v>
      </c>
      <c r="AH95" s="122" t="n">
        <f aca="false">Tabela54[[#This Row],[Kolumna222]]/1.59</f>
        <v>0</v>
      </c>
      <c r="AI95" s="119" t="n">
        <f aca="false">Tabela54[[#This Row],[Kolumna223]]*Tabela54[[#This Row],[Kolumna63]]</f>
        <v>0</v>
      </c>
      <c r="AJ95" s="119" t="n">
        <v>400</v>
      </c>
      <c r="AK95" s="122" t="n">
        <f aca="false">Tabela54[[#This Row],[Kolumna34]]*12</f>
        <v>4800</v>
      </c>
      <c r="AL95" s="122" t="n">
        <f aca="false">Tabela54[[#This Row],[Kolumna32]]/4.2</f>
        <v>1142.85714285714</v>
      </c>
      <c r="AM95" s="119" t="n">
        <f aca="false">Tabela54[[#This Row],[Kolumna322]]*Tabela54[[#This Row],[Kolumna63]]</f>
        <v>342.857142857143</v>
      </c>
      <c r="AN95" s="122"/>
      <c r="AO95" s="122" t="n">
        <f aca="false">Tabela54[[#This Row],[Kolumna5]]*Tabela54[[#This Row],[Kolumna63]]</f>
        <v>0</v>
      </c>
      <c r="AP95" s="53" t="n">
        <v>0.3</v>
      </c>
      <c r="AQ95" s="29"/>
      <c r="AR95" s="29"/>
      <c r="AS95" s="29"/>
      <c r="AT95" s="29"/>
    </row>
    <row r="96" customFormat="false" ht="30" hidden="false" customHeight="true" outlineLevel="0" collapsed="false">
      <c r="A96" s="40" t="n">
        <v>89</v>
      </c>
      <c r="B96" s="27" t="s">
        <v>241</v>
      </c>
      <c r="C96" s="49" t="s">
        <v>248</v>
      </c>
      <c r="D96" s="134"/>
      <c r="E96" s="135" t="n">
        <v>120</v>
      </c>
      <c r="F9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249.7241</v>
      </c>
      <c r="G96" s="135"/>
      <c r="H96" s="130"/>
      <c r="I96" s="26" t="n">
        <f aca="false">Tabela43[[#This Row],[Kolumna5]]*20700*0.27778</f>
        <v>0</v>
      </c>
      <c r="J96" s="130"/>
      <c r="K96" s="130"/>
      <c r="L96" s="28" t="n">
        <f aca="false">Tabela43[[#This Row],[Kolumna8]]*0.000843882*40190*0.27778</f>
        <v>0</v>
      </c>
      <c r="M96" s="130"/>
      <c r="N96" s="146" t="n">
        <f aca="false">Tabela43[[#This Row],[Kolumna84]]/2.55</f>
        <v>0</v>
      </c>
      <c r="O96" s="28" t="n">
        <f aca="false">Tabela43[[#This Row],[Kolumna82]]*35.94*0.27778</f>
        <v>0</v>
      </c>
      <c r="P96" s="130"/>
      <c r="Q96" s="130"/>
      <c r="R96" s="130" t="n">
        <v>10</v>
      </c>
      <c r="S96" s="116" t="n">
        <f aca="false">Tabela43[[#This Row],[Kolumna92]]*0.65</f>
        <v>6.5</v>
      </c>
      <c r="T96" s="28" t="n">
        <f aca="false">Tabela43[[#This Row],[Kolumna10]]*15600*0.27778</f>
        <v>28166.892</v>
      </c>
      <c r="U96" s="130"/>
      <c r="V96" s="130"/>
      <c r="W96" s="130"/>
      <c r="X96" s="130" t="n">
        <v>150</v>
      </c>
      <c r="Y96" s="130" t="n">
        <f aca="false">Tabela43[[#This Row],[Kolumna1223]]*12</f>
        <v>1800</v>
      </c>
      <c r="Z96" s="28" t="n">
        <f aca="false">Tabela43[[#This Row],[Kolumna123]]/0.55</f>
        <v>3272.72727272727</v>
      </c>
      <c r="AA96" s="125"/>
      <c r="AB96" s="125" t="n">
        <v>200</v>
      </c>
      <c r="AC96" s="125" t="n">
        <f aca="false">Tabela54[[#This Row],[Kolumna22]]*12</f>
        <v>2400</v>
      </c>
      <c r="AD96" s="122" t="n">
        <f aca="false">Tabela54[[#This Row],[Kolumna3]]/4.44</f>
        <v>540.540540540541</v>
      </c>
      <c r="AE96" s="120" t="n">
        <f aca="false">Tabela54[[#This Row],[Kolumna23]]*Tabela54[[#This Row],[Kolumna63]]</f>
        <v>324.324324324324</v>
      </c>
      <c r="AF96" s="120"/>
      <c r="AG96" s="122" t="n">
        <f aca="false">Tabela54[[#This Row],[Kolumna12]]*12</f>
        <v>0</v>
      </c>
      <c r="AH96" s="122" t="n">
        <f aca="false">Tabela54[[#This Row],[Kolumna222]]/1.59</f>
        <v>0</v>
      </c>
      <c r="AI96" s="119" t="n">
        <f aca="false">Tabela54[[#This Row],[Kolumna223]]*Tabela54[[#This Row],[Kolumna63]]</f>
        <v>0</v>
      </c>
      <c r="AJ96" s="119"/>
      <c r="AK96" s="122" t="n">
        <f aca="false">Tabela54[[#This Row],[Kolumna34]]*12</f>
        <v>0</v>
      </c>
      <c r="AL96" s="122" t="n">
        <f aca="false">Tabela54[[#This Row],[Kolumna32]]/4.2</f>
        <v>0</v>
      </c>
      <c r="AM96" s="119" t="n">
        <f aca="false">Tabela54[[#This Row],[Kolumna322]]*Tabela54[[#This Row],[Kolumna63]]</f>
        <v>0</v>
      </c>
      <c r="AN96" s="122"/>
      <c r="AO96" s="122" t="n">
        <f aca="false">Tabela54[[#This Row],[Kolumna5]]*Tabela54[[#This Row],[Kolumna63]]</f>
        <v>0</v>
      </c>
      <c r="AP96" s="53" t="n">
        <v>0.6</v>
      </c>
      <c r="AQ96" s="29"/>
      <c r="AR96" s="29"/>
      <c r="AS96" s="29"/>
      <c r="AT96" s="29"/>
    </row>
    <row r="97" customFormat="false" ht="30" hidden="false" customHeight="true" outlineLevel="0" collapsed="false">
      <c r="A97" s="25" t="n">
        <v>90</v>
      </c>
      <c r="B97" s="27" t="s">
        <v>241</v>
      </c>
      <c r="C97" s="49" t="s">
        <v>248</v>
      </c>
      <c r="D97" s="134"/>
      <c r="E97" s="135" t="n">
        <v>90</v>
      </c>
      <c r="F9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391.55856</v>
      </c>
      <c r="G97" s="135"/>
      <c r="H97" s="130"/>
      <c r="I97" s="26" t="n">
        <f aca="false">Tabela43[[#This Row],[Kolumna5]]*20700*0.27778</f>
        <v>0</v>
      </c>
      <c r="J97" s="130"/>
      <c r="K97" s="130"/>
      <c r="L97" s="28" t="n">
        <f aca="false">Tabela43[[#This Row],[Kolumna8]]*0.000843882*40190*0.27778</f>
        <v>0</v>
      </c>
      <c r="M97" s="130"/>
      <c r="N97" s="146" t="n">
        <f aca="false">Tabela43[[#This Row],[Kolumna84]]/2.55</f>
        <v>0</v>
      </c>
      <c r="O97" s="28" t="n">
        <f aca="false">Tabela43[[#This Row],[Kolumna82]]*35.94*0.27778</f>
        <v>0</v>
      </c>
      <c r="P97" s="130"/>
      <c r="Q97" s="130"/>
      <c r="R97" s="130" t="n">
        <v>12</v>
      </c>
      <c r="S97" s="116" t="n">
        <f aca="false">Tabela43[[#This Row],[Kolumna92]]*0.65</f>
        <v>7.8</v>
      </c>
      <c r="T97" s="28" t="n">
        <f aca="false">Tabela43[[#This Row],[Kolumna10]]*15600*0.27778</f>
        <v>33800.2704</v>
      </c>
      <c r="U97" s="130"/>
      <c r="V97" s="130"/>
      <c r="W97" s="130"/>
      <c r="X97" s="130" t="n">
        <v>120</v>
      </c>
      <c r="Y97" s="130" t="n">
        <f aca="false">Tabela43[[#This Row],[Kolumna1223]]*12</f>
        <v>1440</v>
      </c>
      <c r="Z97" s="28" t="n">
        <f aca="false">Tabela43[[#This Row],[Kolumna123]]/0.55</f>
        <v>2618.18181818182</v>
      </c>
      <c r="AA97" s="125"/>
      <c r="AB97" s="125"/>
      <c r="AC97" s="125" t="n">
        <f aca="false">Tabela54[[#This Row],[Kolumna22]]*12</f>
        <v>0</v>
      </c>
      <c r="AD97" s="122" t="n">
        <f aca="false">Tabela54[[#This Row],[Kolumna3]]/4.44</f>
        <v>0</v>
      </c>
      <c r="AE97" s="120" t="n">
        <f aca="false">Tabela54[[#This Row],[Kolumna23]]*Tabela54[[#This Row],[Kolumna63]]</f>
        <v>0</v>
      </c>
      <c r="AF97" s="120"/>
      <c r="AG97" s="122" t="n">
        <f aca="false">Tabela54[[#This Row],[Kolumna12]]*12</f>
        <v>0</v>
      </c>
      <c r="AH97" s="122" t="n">
        <f aca="false">Tabela54[[#This Row],[Kolumna222]]/1.59</f>
        <v>0</v>
      </c>
      <c r="AI97" s="119" t="n">
        <f aca="false">Tabela54[[#This Row],[Kolumna223]]*Tabela54[[#This Row],[Kolumna63]]</f>
        <v>0</v>
      </c>
      <c r="AJ97" s="119" t="n">
        <v>200</v>
      </c>
      <c r="AK97" s="122" t="n">
        <f aca="false">Tabela54[[#This Row],[Kolumna34]]*12</f>
        <v>2400</v>
      </c>
      <c r="AL97" s="122" t="n">
        <f aca="false">Tabela54[[#This Row],[Kolumna32]]/4.2</f>
        <v>571.428571428571</v>
      </c>
      <c r="AM97" s="119" t="n">
        <f aca="false">Tabela54[[#This Row],[Kolumna322]]*Tabela54[[#This Row],[Kolumna63]]</f>
        <v>114.285714285714</v>
      </c>
      <c r="AN97" s="122"/>
      <c r="AO97" s="122" t="n">
        <f aca="false">Tabela54[[#This Row],[Kolumna5]]*Tabela54[[#This Row],[Kolumna63]]</f>
        <v>0</v>
      </c>
      <c r="AP97" s="53" t="n">
        <v>0.2</v>
      </c>
      <c r="AQ97" s="29"/>
      <c r="AR97" s="29"/>
      <c r="AS97" s="29"/>
      <c r="AT97" s="29"/>
    </row>
    <row r="98" customFormat="false" ht="30" hidden="false" customHeight="true" outlineLevel="0" collapsed="false">
      <c r="A98" s="25" t="n">
        <v>91</v>
      </c>
      <c r="B98" s="27" t="s">
        <v>241</v>
      </c>
      <c r="C98" s="49" t="s">
        <v>248</v>
      </c>
      <c r="D98" s="134"/>
      <c r="E98" s="135" t="n">
        <v>180</v>
      </c>
      <c r="F9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173.742013333333</v>
      </c>
      <c r="G98" s="135"/>
      <c r="H98" s="130" t="n">
        <v>4</v>
      </c>
      <c r="I98" s="26" t="n">
        <f aca="false">Tabela43[[#This Row],[Kolumna5]]*20700*0.27778</f>
        <v>23000.184</v>
      </c>
      <c r="J98" s="130"/>
      <c r="K98" s="130"/>
      <c r="L98" s="28" t="n">
        <f aca="false">Tabela43[[#This Row],[Kolumna8]]*0.000843882*40190*0.27778</f>
        <v>0</v>
      </c>
      <c r="M98" s="130"/>
      <c r="N98" s="146" t="n">
        <f aca="false">Tabela43[[#This Row],[Kolumna84]]/2.55</f>
        <v>0</v>
      </c>
      <c r="O98" s="28" t="n">
        <f aca="false">Tabela43[[#This Row],[Kolumna82]]*35.94*0.27778</f>
        <v>0</v>
      </c>
      <c r="P98" s="130"/>
      <c r="Q98" s="130"/>
      <c r="R98" s="130" t="n">
        <v>2</v>
      </c>
      <c r="S98" s="116" t="n">
        <f aca="false">Tabela43[[#This Row],[Kolumna92]]*0.65</f>
        <v>1.3</v>
      </c>
      <c r="T98" s="28" t="n">
        <f aca="false">Tabela43[[#This Row],[Kolumna10]]*15600*0.27778</f>
        <v>5633.3784</v>
      </c>
      <c r="U98" s="130"/>
      <c r="V98" s="130"/>
      <c r="W98" s="130"/>
      <c r="X98" s="130" t="n">
        <v>220</v>
      </c>
      <c r="Y98" s="130" t="n">
        <f aca="false">Tabela43[[#This Row],[Kolumna1223]]*12</f>
        <v>2640</v>
      </c>
      <c r="Z98" s="28" t="n">
        <f aca="false">Tabela43[[#This Row],[Kolumna123]]/0.55</f>
        <v>4800</v>
      </c>
      <c r="AA98" s="125"/>
      <c r="AB98" s="125" t="n">
        <v>500</v>
      </c>
      <c r="AC98" s="125" t="n">
        <f aca="false">Tabela54[[#This Row],[Kolumna22]]*12</f>
        <v>6000</v>
      </c>
      <c r="AD98" s="122" t="n">
        <f aca="false">Tabela54[[#This Row],[Kolumna3]]/4.44</f>
        <v>1351.35135135135</v>
      </c>
      <c r="AE98" s="120" t="n">
        <f aca="false">Tabela54[[#This Row],[Kolumna23]]*Tabela54[[#This Row],[Kolumna63]]</f>
        <v>540.540540540541</v>
      </c>
      <c r="AF98" s="120"/>
      <c r="AG98" s="122" t="n">
        <f aca="false">Tabela54[[#This Row],[Kolumna12]]*12</f>
        <v>0</v>
      </c>
      <c r="AH98" s="122" t="n">
        <f aca="false">Tabela54[[#This Row],[Kolumna222]]/1.59</f>
        <v>0</v>
      </c>
      <c r="AI98" s="119" t="n">
        <f aca="false">Tabela54[[#This Row],[Kolumna223]]*Tabela54[[#This Row],[Kolumna63]]</f>
        <v>0</v>
      </c>
      <c r="AJ98" s="119"/>
      <c r="AK98" s="122" t="n">
        <f aca="false">Tabela54[[#This Row],[Kolumna34]]*12</f>
        <v>0</v>
      </c>
      <c r="AL98" s="122" t="n">
        <f aca="false">Tabela54[[#This Row],[Kolumna32]]/4.2</f>
        <v>0</v>
      </c>
      <c r="AM98" s="119" t="n">
        <f aca="false">Tabela54[[#This Row],[Kolumna322]]*Tabela54[[#This Row],[Kolumna63]]</f>
        <v>0</v>
      </c>
      <c r="AN98" s="122"/>
      <c r="AO98" s="122" t="n">
        <f aca="false">Tabela54[[#This Row],[Kolumna5]]*Tabela54[[#This Row],[Kolumna63]]</f>
        <v>0</v>
      </c>
      <c r="AP98" s="53" t="n">
        <v>0.4</v>
      </c>
      <c r="AQ98" s="29"/>
      <c r="AR98" s="29"/>
      <c r="AS98" s="29"/>
      <c r="AT98" s="29"/>
    </row>
    <row r="99" customFormat="false" ht="30" hidden="false" customHeight="true" outlineLevel="0" collapsed="false">
      <c r="A99" s="40" t="n">
        <v>92</v>
      </c>
      <c r="B99" s="27" t="s">
        <v>241</v>
      </c>
      <c r="C99" s="49" t="s">
        <v>248</v>
      </c>
      <c r="D99" s="134"/>
      <c r="E99" s="135" t="n">
        <v>120</v>
      </c>
      <c r="F9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250.7241</v>
      </c>
      <c r="G99" s="135"/>
      <c r="H99" s="130"/>
      <c r="I99" s="26" t="n">
        <f aca="false">Tabela43[[#This Row],[Kolumna5]]*20700*0.27778</f>
        <v>0</v>
      </c>
      <c r="J99" s="130"/>
      <c r="K99" s="130"/>
      <c r="L99" s="28" t="n">
        <f aca="false">Tabela43[[#This Row],[Kolumna8]]*0.000843882*40190*0.27778</f>
        <v>0</v>
      </c>
      <c r="M99" s="130"/>
      <c r="N99" s="146" t="n">
        <f aca="false">Tabela43[[#This Row],[Kolumna84]]/2.55</f>
        <v>0</v>
      </c>
      <c r="O99" s="28" t="n">
        <f aca="false">Tabela43[[#This Row],[Kolumna82]]*35.94*0.27778</f>
        <v>0</v>
      </c>
      <c r="P99" s="130"/>
      <c r="Q99" s="130"/>
      <c r="R99" s="130" t="n">
        <v>10</v>
      </c>
      <c r="S99" s="116" t="n">
        <f aca="false">Tabela43[[#This Row],[Kolumna92]]*0.65</f>
        <v>6.5</v>
      </c>
      <c r="T99" s="28" t="n">
        <f aca="false">Tabela43[[#This Row],[Kolumna10]]*15600*0.27778</f>
        <v>28166.892</v>
      </c>
      <c r="U99" s="130"/>
      <c r="V99" s="130"/>
      <c r="W99" s="130"/>
      <c r="X99" s="130" t="n">
        <v>160</v>
      </c>
      <c r="Y99" s="130" t="n">
        <f aca="false">Tabela43[[#This Row],[Kolumna1223]]*12</f>
        <v>1920</v>
      </c>
      <c r="Z99" s="28" t="n">
        <f aca="false">Tabela43[[#This Row],[Kolumna123]]/0.55</f>
        <v>3490.90909090909</v>
      </c>
      <c r="AA99" s="125"/>
      <c r="AB99" s="125" t="n">
        <v>200</v>
      </c>
      <c r="AC99" s="125" t="n">
        <f aca="false">Tabela54[[#This Row],[Kolumna22]]*12</f>
        <v>2400</v>
      </c>
      <c r="AD99" s="122" t="n">
        <f aca="false">Tabela54[[#This Row],[Kolumna3]]/4.44</f>
        <v>540.540540540541</v>
      </c>
      <c r="AE99" s="120" t="n">
        <f aca="false">Tabela54[[#This Row],[Kolumna23]]*Tabela54[[#This Row],[Kolumna63]]</f>
        <v>108.108108108108</v>
      </c>
      <c r="AF99" s="120"/>
      <c r="AG99" s="122" t="n">
        <f aca="false">Tabela54[[#This Row],[Kolumna12]]*12</f>
        <v>0</v>
      </c>
      <c r="AH99" s="122" t="n">
        <f aca="false">Tabela54[[#This Row],[Kolumna222]]/1.59</f>
        <v>0</v>
      </c>
      <c r="AI99" s="119" t="n">
        <f aca="false">Tabela54[[#This Row],[Kolumna223]]*Tabela54[[#This Row],[Kolumna63]]</f>
        <v>0</v>
      </c>
      <c r="AJ99" s="119"/>
      <c r="AK99" s="122" t="n">
        <f aca="false">Tabela54[[#This Row],[Kolumna34]]*12</f>
        <v>0</v>
      </c>
      <c r="AL99" s="122" t="n">
        <f aca="false">Tabela54[[#This Row],[Kolumna32]]/4.2</f>
        <v>0</v>
      </c>
      <c r="AM99" s="119" t="n">
        <f aca="false">Tabela54[[#This Row],[Kolumna322]]*Tabela54[[#This Row],[Kolumna63]]</f>
        <v>0</v>
      </c>
      <c r="AN99" s="122"/>
      <c r="AO99" s="122" t="n">
        <f aca="false">Tabela54[[#This Row],[Kolumna5]]*Tabela54[[#This Row],[Kolumna63]]</f>
        <v>0</v>
      </c>
      <c r="AP99" s="53" t="n">
        <v>0.2</v>
      </c>
      <c r="AQ99" s="29"/>
      <c r="AR99" s="29"/>
      <c r="AS99" s="29"/>
      <c r="AT99" s="29"/>
    </row>
    <row r="100" customFormat="false" ht="30" hidden="false" customHeight="true" outlineLevel="0" collapsed="false">
      <c r="A100" s="25" t="n">
        <v>93</v>
      </c>
      <c r="B100" s="27" t="s">
        <v>241</v>
      </c>
      <c r="C100" s="49" t="s">
        <v>248</v>
      </c>
      <c r="D100" s="134"/>
      <c r="E100" s="135" t="n">
        <v>200</v>
      </c>
      <c r="F10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277.66884</v>
      </c>
      <c r="G100" s="135"/>
      <c r="H100" s="130" t="n">
        <v>7</v>
      </c>
      <c r="I100" s="26" t="n">
        <f aca="false">Tabela43[[#This Row],[Kolumna5]]*20700*0.27778</f>
        <v>40250.322</v>
      </c>
      <c r="J100" s="130"/>
      <c r="K100" s="130"/>
      <c r="L100" s="28" t="n">
        <f aca="false">Tabela43[[#This Row],[Kolumna8]]*0.000843882*40190*0.27778</f>
        <v>0</v>
      </c>
      <c r="M100" s="130"/>
      <c r="N100" s="146" t="n">
        <f aca="false">Tabela43[[#This Row],[Kolumna84]]/2.55</f>
        <v>0</v>
      </c>
      <c r="O100" s="28" t="n">
        <f aca="false">Tabela43[[#This Row],[Kolumna82]]*35.94*0.27778</f>
        <v>0</v>
      </c>
      <c r="P100" s="130"/>
      <c r="Q100" s="130"/>
      <c r="R100" s="130" t="n">
        <v>5</v>
      </c>
      <c r="S100" s="116" t="n">
        <f aca="false">Tabela43[[#This Row],[Kolumna92]]*0.65</f>
        <v>3.25</v>
      </c>
      <c r="T100" s="28" t="n">
        <f aca="false">Tabela43[[#This Row],[Kolumna10]]*15600*0.27778</f>
        <v>14083.446</v>
      </c>
      <c r="U100" s="130"/>
      <c r="V100" s="130"/>
      <c r="W100" s="130"/>
      <c r="X100" s="130" t="n">
        <v>100</v>
      </c>
      <c r="Y100" s="130" t="n">
        <f aca="false">Tabela43[[#This Row],[Kolumna1223]]*12</f>
        <v>1200</v>
      </c>
      <c r="Z100" s="28" t="n">
        <f aca="false">Tabela43[[#This Row],[Kolumna123]]/0.55</f>
        <v>2181.81818181818</v>
      </c>
      <c r="AA100" s="125"/>
      <c r="AB100" s="125"/>
      <c r="AC100" s="125" t="n">
        <f aca="false">Tabela54[[#This Row],[Kolumna22]]*12</f>
        <v>0</v>
      </c>
      <c r="AD100" s="122" t="n">
        <f aca="false">Tabela54[[#This Row],[Kolumna3]]/4.44</f>
        <v>0</v>
      </c>
      <c r="AE100" s="120" t="n">
        <f aca="false">Tabela54[[#This Row],[Kolumna23]]*Tabela54[[#This Row],[Kolumna63]]</f>
        <v>0</v>
      </c>
      <c r="AF100" s="120"/>
      <c r="AG100" s="122" t="n">
        <f aca="false">Tabela54[[#This Row],[Kolumna12]]*12</f>
        <v>0</v>
      </c>
      <c r="AH100" s="122" t="n">
        <f aca="false">Tabela54[[#This Row],[Kolumna222]]/1.59</f>
        <v>0</v>
      </c>
      <c r="AI100" s="119" t="n">
        <f aca="false">Tabela54[[#This Row],[Kolumna223]]*Tabela54[[#This Row],[Kolumna63]]</f>
        <v>0</v>
      </c>
      <c r="AJ100" s="119" t="n">
        <v>300</v>
      </c>
      <c r="AK100" s="122" t="n">
        <f aca="false">Tabela54[[#This Row],[Kolumna34]]*12</f>
        <v>3600</v>
      </c>
      <c r="AL100" s="122" t="n">
        <f aca="false">Tabela54[[#This Row],[Kolumna32]]/4.2</f>
        <v>857.142857142857</v>
      </c>
      <c r="AM100" s="119" t="n">
        <f aca="false">Tabela54[[#This Row],[Kolumna322]]*Tabela54[[#This Row],[Kolumna63]]</f>
        <v>428.571428571429</v>
      </c>
      <c r="AN100" s="122"/>
      <c r="AO100" s="122" t="n">
        <f aca="false">Tabela54[[#This Row],[Kolumna5]]*Tabela54[[#This Row],[Kolumna63]]</f>
        <v>0</v>
      </c>
      <c r="AP100" s="53" t="n">
        <v>0.5</v>
      </c>
      <c r="AQ100" s="29"/>
      <c r="AR100" s="29"/>
      <c r="AS100" s="29"/>
      <c r="AT100" s="29"/>
    </row>
    <row r="101" customFormat="false" ht="30" hidden="false" customHeight="true" outlineLevel="0" collapsed="false">
      <c r="A101" s="25" t="n">
        <v>94</v>
      </c>
      <c r="B101" s="27" t="s">
        <v>241</v>
      </c>
      <c r="C101" s="49" t="s">
        <v>248</v>
      </c>
      <c r="D101" s="134"/>
      <c r="E101" s="135" t="n">
        <v>260</v>
      </c>
      <c r="F10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198.655250769231</v>
      </c>
      <c r="G101" s="135"/>
      <c r="H101" s="130" t="n">
        <v>5</v>
      </c>
      <c r="I101" s="26" t="n">
        <f aca="false">Tabela43[[#This Row],[Kolumna5]]*20700*0.27778</f>
        <v>28750.23</v>
      </c>
      <c r="J101" s="130"/>
      <c r="K101" s="130"/>
      <c r="L101" s="28" t="n">
        <f aca="false">Tabela43[[#This Row],[Kolumna8]]*0.000843882*40190*0.27778</f>
        <v>0</v>
      </c>
      <c r="M101" s="130"/>
      <c r="N101" s="146" t="n">
        <f aca="false">Tabela43[[#This Row],[Kolumna84]]/2.55</f>
        <v>0</v>
      </c>
      <c r="O101" s="28" t="n">
        <f aca="false">Tabela43[[#This Row],[Kolumna82]]*35.94*0.27778</f>
        <v>0</v>
      </c>
      <c r="P101" s="130"/>
      <c r="Q101" s="130"/>
      <c r="R101" s="130" t="n">
        <v>6</v>
      </c>
      <c r="S101" s="116" t="n">
        <f aca="false">Tabela43[[#This Row],[Kolumna92]]*0.65</f>
        <v>3.9</v>
      </c>
      <c r="T101" s="28" t="n">
        <f aca="false">Tabela43[[#This Row],[Kolumna10]]*15600*0.27778</f>
        <v>16900.1352</v>
      </c>
      <c r="U101" s="130"/>
      <c r="V101" s="130"/>
      <c r="W101" s="130"/>
      <c r="X101" s="130" t="n">
        <v>500</v>
      </c>
      <c r="Y101" s="130" t="n">
        <f aca="false">Tabela43[[#This Row],[Kolumna1223]]*12</f>
        <v>6000</v>
      </c>
      <c r="Z101" s="28" t="n">
        <f aca="false">Tabela43[[#This Row],[Kolumna123]]/0.55</f>
        <v>10909.0909090909</v>
      </c>
      <c r="AA101" s="125"/>
      <c r="AB101" s="125"/>
      <c r="AC101" s="125" t="n">
        <f aca="false">Tabela54[[#This Row],[Kolumna22]]*12</f>
        <v>0</v>
      </c>
      <c r="AD101" s="122" t="n">
        <f aca="false">Tabela54[[#This Row],[Kolumna3]]/4.44</f>
        <v>0</v>
      </c>
      <c r="AE101" s="120" t="n">
        <f aca="false">Tabela54[[#This Row],[Kolumna23]]*Tabela54[[#This Row],[Kolumna63]]</f>
        <v>0</v>
      </c>
      <c r="AF101" s="120"/>
      <c r="AG101" s="122" t="n">
        <f aca="false">Tabela54[[#This Row],[Kolumna12]]*12</f>
        <v>0</v>
      </c>
      <c r="AH101" s="122" t="n">
        <f aca="false">Tabela54[[#This Row],[Kolumna222]]/1.59</f>
        <v>0</v>
      </c>
      <c r="AI101" s="119" t="n">
        <f aca="false">Tabela54[[#This Row],[Kolumna223]]*Tabela54[[#This Row],[Kolumna63]]</f>
        <v>0</v>
      </c>
      <c r="AJ101" s="119" t="n">
        <v>600</v>
      </c>
      <c r="AK101" s="122" t="n">
        <f aca="false">Tabela54[[#This Row],[Kolumna34]]*12</f>
        <v>7200</v>
      </c>
      <c r="AL101" s="122" t="n">
        <f aca="false">Tabela54[[#This Row],[Kolumna32]]/4.2</f>
        <v>1714.28571428571</v>
      </c>
      <c r="AM101" s="119" t="n">
        <f aca="false">Tabela54[[#This Row],[Kolumna322]]*Tabela54[[#This Row],[Kolumna63]]</f>
        <v>1028.57142857143</v>
      </c>
      <c r="AN101" s="122"/>
      <c r="AO101" s="122" t="n">
        <f aca="false">Tabela54[[#This Row],[Kolumna5]]*Tabela54[[#This Row],[Kolumna63]]</f>
        <v>0</v>
      </c>
      <c r="AP101" s="53" t="n">
        <v>0.6</v>
      </c>
      <c r="AQ101" s="29"/>
      <c r="AR101" s="29"/>
      <c r="AS101" s="29"/>
      <c r="AT101" s="29"/>
    </row>
    <row r="102" customFormat="false" ht="30" hidden="false" customHeight="true" outlineLevel="0" collapsed="false">
      <c r="A102" s="40" t="n">
        <v>95</v>
      </c>
      <c r="B102" s="27" t="s">
        <v>241</v>
      </c>
      <c r="C102" s="49" t="s">
        <v>248</v>
      </c>
      <c r="D102" s="134"/>
      <c r="E102" s="135" t="n">
        <v>120</v>
      </c>
      <c r="F10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295.61338</v>
      </c>
      <c r="G102" s="135"/>
      <c r="H102" s="130" t="n">
        <v>2</v>
      </c>
      <c r="I102" s="26" t="n">
        <f aca="false">Tabela43[[#This Row],[Kolumna5]]*20700*0.27778</f>
        <v>11500.092</v>
      </c>
      <c r="J102" s="130"/>
      <c r="K102" s="130"/>
      <c r="L102" s="28" t="n">
        <f aca="false">Tabela43[[#This Row],[Kolumna8]]*0.000843882*40190*0.27778</f>
        <v>0</v>
      </c>
      <c r="M102" s="130"/>
      <c r="N102" s="146" t="n">
        <f aca="false">Tabela43[[#This Row],[Kolumna84]]/2.55</f>
        <v>0</v>
      </c>
      <c r="O102" s="28" t="n">
        <f aca="false">Tabela43[[#This Row],[Kolumna82]]*35.94*0.27778</f>
        <v>0</v>
      </c>
      <c r="P102" s="130"/>
      <c r="Q102" s="130"/>
      <c r="R102" s="130" t="n">
        <v>8</v>
      </c>
      <c r="S102" s="116" t="n">
        <f aca="false">Tabela43[[#This Row],[Kolumna92]]*0.65</f>
        <v>5.2</v>
      </c>
      <c r="T102" s="28" t="n">
        <f aca="false">Tabela43[[#This Row],[Kolumna10]]*15600*0.27778</f>
        <v>22533.5136</v>
      </c>
      <c r="U102" s="130"/>
      <c r="V102" s="130"/>
      <c r="W102" s="130"/>
      <c r="X102" s="130" t="n">
        <v>120</v>
      </c>
      <c r="Y102" s="130" t="n">
        <f aca="false">Tabela43[[#This Row],[Kolumna1223]]*12</f>
        <v>1440</v>
      </c>
      <c r="Z102" s="28" t="n">
        <f aca="false">Tabela43[[#This Row],[Kolumna123]]/0.55</f>
        <v>2618.18181818182</v>
      </c>
      <c r="AA102" s="132"/>
      <c r="AB102" s="132" t="n">
        <v>300</v>
      </c>
      <c r="AC102" s="125" t="n">
        <f aca="false">Tabela54[[#This Row],[Kolumna22]]*12</f>
        <v>3600</v>
      </c>
      <c r="AD102" s="122" t="n">
        <f aca="false">Tabela54[[#This Row],[Kolumna3]]/4.44</f>
        <v>810.810810810811</v>
      </c>
      <c r="AE102" s="120" t="n">
        <f aca="false">Tabela54[[#This Row],[Kolumna23]]*Tabela54[[#This Row],[Kolumna63]]</f>
        <v>243.243243243243</v>
      </c>
      <c r="AF102" s="120"/>
      <c r="AG102" s="122" t="n">
        <f aca="false">Tabela54[[#This Row],[Kolumna12]]*12</f>
        <v>0</v>
      </c>
      <c r="AH102" s="122" t="n">
        <f aca="false">Tabela54[[#This Row],[Kolumna222]]/1.59</f>
        <v>0</v>
      </c>
      <c r="AI102" s="119" t="n">
        <f aca="false">Tabela54[[#This Row],[Kolumna223]]*Tabela54[[#This Row],[Kolumna63]]</f>
        <v>0</v>
      </c>
      <c r="AJ102" s="119"/>
      <c r="AK102" s="122" t="n">
        <f aca="false">Tabela54[[#This Row],[Kolumna34]]*12</f>
        <v>0</v>
      </c>
      <c r="AL102" s="122" t="n">
        <f aca="false">Tabela54[[#This Row],[Kolumna32]]/4.2</f>
        <v>0</v>
      </c>
      <c r="AM102" s="119" t="n">
        <f aca="false">Tabela54[[#This Row],[Kolumna322]]*Tabela54[[#This Row],[Kolumna63]]</f>
        <v>0</v>
      </c>
      <c r="AN102" s="122"/>
      <c r="AO102" s="122" t="n">
        <f aca="false">Tabela54[[#This Row],[Kolumna5]]*Tabela54[[#This Row],[Kolumna63]]</f>
        <v>0</v>
      </c>
      <c r="AP102" s="53" t="n">
        <v>0.3</v>
      </c>
      <c r="AQ102" s="29"/>
      <c r="AR102" s="29"/>
      <c r="AS102" s="29"/>
      <c r="AT102" s="29"/>
    </row>
    <row r="103" customFormat="false" ht="30" hidden="false" customHeight="true" outlineLevel="0" collapsed="false">
      <c r="A103" s="25" t="n">
        <v>96</v>
      </c>
      <c r="B103" s="27" t="s">
        <v>241</v>
      </c>
      <c r="C103" s="49" t="s">
        <v>248</v>
      </c>
      <c r="D103" s="134"/>
      <c r="E103" s="135" t="n">
        <v>80</v>
      </c>
      <c r="F10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445.00338</v>
      </c>
      <c r="G103" s="135"/>
      <c r="H103" s="130"/>
      <c r="I103" s="26" t="n">
        <f aca="false">Tabela43[[#This Row],[Kolumna5]]*20700*0.27778</f>
        <v>0</v>
      </c>
      <c r="J103" s="130"/>
      <c r="K103" s="130"/>
      <c r="L103" s="28" t="n">
        <f aca="false">Tabela43[[#This Row],[Kolumna8]]*0.000843882*40190*0.27778</f>
        <v>0</v>
      </c>
      <c r="M103" s="130"/>
      <c r="N103" s="146" t="n">
        <f aca="false">Tabela43[[#This Row],[Kolumna84]]/2.55</f>
        <v>0</v>
      </c>
      <c r="O103" s="28" t="n">
        <f aca="false">Tabela43[[#This Row],[Kolumna82]]*35.94*0.27778</f>
        <v>0</v>
      </c>
      <c r="P103" s="130"/>
      <c r="Q103" s="130"/>
      <c r="R103" s="130" t="n">
        <v>12</v>
      </c>
      <c r="S103" s="116" t="n">
        <f aca="false">Tabela43[[#This Row],[Kolumna92]]*0.65</f>
        <v>7.8</v>
      </c>
      <c r="T103" s="28" t="n">
        <f aca="false">Tabela43[[#This Row],[Kolumna10]]*15600*0.27778</f>
        <v>33800.2704</v>
      </c>
      <c r="U103" s="130"/>
      <c r="V103" s="130"/>
      <c r="W103" s="130"/>
      <c r="X103" s="130" t="n">
        <v>150</v>
      </c>
      <c r="Y103" s="130" t="n">
        <f aca="false">Tabela43[[#This Row],[Kolumna1223]]*12</f>
        <v>1800</v>
      </c>
      <c r="Z103" s="28" t="n">
        <f aca="false">Tabela43[[#This Row],[Kolumna123]]/0.55</f>
        <v>3272.72727272727</v>
      </c>
      <c r="AA103" s="125"/>
      <c r="AB103" s="125"/>
      <c r="AC103" s="125" t="n">
        <f aca="false">Tabela54[[#This Row],[Kolumna22]]*12</f>
        <v>0</v>
      </c>
      <c r="AD103" s="122" t="n">
        <f aca="false">Tabela54[[#This Row],[Kolumna3]]/4.44</f>
        <v>0</v>
      </c>
      <c r="AE103" s="120" t="n">
        <f aca="false">Tabela54[[#This Row],[Kolumna23]]*Tabela54[[#This Row],[Kolumna63]]</f>
        <v>0</v>
      </c>
      <c r="AF103" s="120"/>
      <c r="AG103" s="122" t="n">
        <f aca="false">Tabela54[[#This Row],[Kolumna12]]*12</f>
        <v>0</v>
      </c>
      <c r="AH103" s="122" t="n">
        <f aca="false">Tabela54[[#This Row],[Kolumna222]]/1.59</f>
        <v>0</v>
      </c>
      <c r="AI103" s="119" t="n">
        <f aca="false">Tabela54[[#This Row],[Kolumna223]]*Tabela54[[#This Row],[Kolumna63]]</f>
        <v>0</v>
      </c>
      <c r="AJ103" s="119" t="n">
        <v>300</v>
      </c>
      <c r="AK103" s="122" t="n">
        <f aca="false">Tabela54[[#This Row],[Kolumna34]]*12</f>
        <v>3600</v>
      </c>
      <c r="AL103" s="122" t="n">
        <f aca="false">Tabela54[[#This Row],[Kolumna32]]/4.2</f>
        <v>857.142857142857</v>
      </c>
      <c r="AM103" s="119" t="n">
        <f aca="false">Tabela54[[#This Row],[Kolumna322]]*Tabela54[[#This Row],[Kolumna63]]</f>
        <v>257.142857142857</v>
      </c>
      <c r="AN103" s="122"/>
      <c r="AO103" s="122" t="n">
        <f aca="false">Tabela54[[#This Row],[Kolumna5]]*Tabela54[[#This Row],[Kolumna63]]</f>
        <v>0</v>
      </c>
      <c r="AP103" s="53" t="n">
        <v>0.3</v>
      </c>
      <c r="AQ103" s="29"/>
      <c r="AR103" s="29"/>
      <c r="AS103" s="29"/>
      <c r="AT103" s="29"/>
    </row>
    <row r="104" customFormat="false" ht="30" hidden="false" customHeight="true" outlineLevel="0" collapsed="false">
      <c r="A104" s="25" t="n">
        <v>97</v>
      </c>
      <c r="B104" s="27" t="s">
        <v>241</v>
      </c>
      <c r="C104" s="49" t="s">
        <v>248</v>
      </c>
      <c r="D104" s="134"/>
      <c r="E104" s="135" t="n">
        <v>150</v>
      </c>
      <c r="F10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317.957984</v>
      </c>
      <c r="G104" s="135"/>
      <c r="H104" s="130" t="n">
        <v>4</v>
      </c>
      <c r="I104" s="26" t="n">
        <f aca="false">Tabela43[[#This Row],[Kolumna5]]*20700*0.27778</f>
        <v>23000.184</v>
      </c>
      <c r="J104" s="130"/>
      <c r="K104" s="130"/>
      <c r="L104" s="28" t="n">
        <f aca="false">Tabela43[[#This Row],[Kolumna8]]*0.000843882*40190*0.27778</f>
        <v>0</v>
      </c>
      <c r="M104" s="130"/>
      <c r="N104" s="146" t="n">
        <f aca="false">Tabela43[[#This Row],[Kolumna84]]/2.55</f>
        <v>0</v>
      </c>
      <c r="O104" s="28" t="n">
        <f aca="false">Tabela43[[#This Row],[Kolumna82]]*35.94*0.27778</f>
        <v>0</v>
      </c>
      <c r="P104" s="130"/>
      <c r="Q104" s="130"/>
      <c r="R104" s="130" t="n">
        <v>8</v>
      </c>
      <c r="S104" s="116" t="n">
        <f aca="false">Tabela43[[#This Row],[Kolumna92]]*0.65</f>
        <v>5.2</v>
      </c>
      <c r="T104" s="28" t="n">
        <f aca="false">Tabela43[[#This Row],[Kolumna10]]*15600*0.27778</f>
        <v>22533.5136</v>
      </c>
      <c r="U104" s="130"/>
      <c r="V104" s="130"/>
      <c r="W104" s="130"/>
      <c r="X104" s="130" t="n">
        <v>180</v>
      </c>
      <c r="Y104" s="130" t="n">
        <f aca="false">Tabela43[[#This Row],[Kolumna1223]]*12</f>
        <v>2160</v>
      </c>
      <c r="Z104" s="28" t="n">
        <f aca="false">Tabela43[[#This Row],[Kolumna123]]/0.55</f>
        <v>3927.27272727273</v>
      </c>
      <c r="AA104" s="125"/>
      <c r="AB104" s="125" t="n">
        <v>400</v>
      </c>
      <c r="AC104" s="125" t="n">
        <f aca="false">Tabela54[[#This Row],[Kolumna22]]*12</f>
        <v>4800</v>
      </c>
      <c r="AD104" s="122" t="n">
        <f aca="false">Tabela54[[#This Row],[Kolumna3]]/4.44</f>
        <v>1081.08108108108</v>
      </c>
      <c r="AE104" s="120" t="n">
        <f aca="false">Tabela54[[#This Row],[Kolumna23]]*Tabela54[[#This Row],[Kolumna63]]</f>
        <v>540.540540540541</v>
      </c>
      <c r="AF104" s="120"/>
      <c r="AG104" s="122" t="n">
        <f aca="false">Tabela54[[#This Row],[Kolumna12]]*12</f>
        <v>0</v>
      </c>
      <c r="AH104" s="122" t="n">
        <f aca="false">Tabela54[[#This Row],[Kolumna222]]/1.59</f>
        <v>0</v>
      </c>
      <c r="AI104" s="119" t="n">
        <f aca="false">Tabela54[[#This Row],[Kolumna223]]*Tabela54[[#This Row],[Kolumna63]]</f>
        <v>0</v>
      </c>
      <c r="AJ104" s="119"/>
      <c r="AK104" s="122" t="n">
        <f aca="false">Tabela54[[#This Row],[Kolumna34]]*12</f>
        <v>0</v>
      </c>
      <c r="AL104" s="122" t="n">
        <f aca="false">Tabela54[[#This Row],[Kolumna32]]/4.2</f>
        <v>0</v>
      </c>
      <c r="AM104" s="119" t="n">
        <f aca="false">Tabela54[[#This Row],[Kolumna322]]*Tabela54[[#This Row],[Kolumna63]]</f>
        <v>0</v>
      </c>
      <c r="AN104" s="122"/>
      <c r="AO104" s="122" t="n">
        <f aca="false">Tabela54[[#This Row],[Kolumna5]]*Tabela54[[#This Row],[Kolumna63]]</f>
        <v>0</v>
      </c>
      <c r="AP104" s="53" t="n">
        <v>0.5</v>
      </c>
      <c r="AQ104" s="29"/>
      <c r="AR104" s="29"/>
      <c r="AS104" s="29"/>
      <c r="AT104" s="29"/>
    </row>
    <row r="105" customFormat="false" ht="30" hidden="false" customHeight="true" outlineLevel="0" collapsed="false">
      <c r="A105" s="40" t="n">
        <v>98</v>
      </c>
      <c r="B105" s="27" t="s">
        <v>241</v>
      </c>
      <c r="C105" s="49" t="s">
        <v>248</v>
      </c>
      <c r="D105" s="134"/>
      <c r="E105" s="135" t="n">
        <v>160</v>
      </c>
      <c r="F10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213.0640725</v>
      </c>
      <c r="G105" s="135"/>
      <c r="H105" s="130" t="n">
        <v>4</v>
      </c>
      <c r="I105" s="26" t="n">
        <f aca="false">Tabela43[[#This Row],[Kolumna5]]*20700*0.27778</f>
        <v>23000.184</v>
      </c>
      <c r="J105" s="130"/>
      <c r="K105" s="130"/>
      <c r="L105" s="28" t="n">
        <f aca="false">Tabela43[[#This Row],[Kolumna8]]*0.000843882*40190*0.27778</f>
        <v>0</v>
      </c>
      <c r="M105" s="130"/>
      <c r="N105" s="146" t="n">
        <f aca="false">Tabela43[[#This Row],[Kolumna84]]/2.55</f>
        <v>0</v>
      </c>
      <c r="O105" s="28" t="n">
        <f aca="false">Tabela43[[#This Row],[Kolumna82]]*35.94*0.27778</f>
        <v>0</v>
      </c>
      <c r="P105" s="130"/>
      <c r="Q105" s="130"/>
      <c r="R105" s="130" t="n">
        <v>3</v>
      </c>
      <c r="S105" s="116" t="n">
        <f aca="false">Tabela43[[#This Row],[Kolumna92]]*0.65</f>
        <v>1.95</v>
      </c>
      <c r="T105" s="28" t="n">
        <f aca="false">Tabela43[[#This Row],[Kolumna10]]*15600*0.27778</f>
        <v>8450.0676</v>
      </c>
      <c r="U105" s="130"/>
      <c r="V105" s="130"/>
      <c r="W105" s="130"/>
      <c r="X105" s="130" t="n">
        <v>220</v>
      </c>
      <c r="Y105" s="130" t="n">
        <f aca="false">Tabela43[[#This Row],[Kolumna1223]]*12</f>
        <v>2640</v>
      </c>
      <c r="Z105" s="28" t="n">
        <f aca="false">Tabela43[[#This Row],[Kolumna123]]/0.55</f>
        <v>4800</v>
      </c>
      <c r="AA105" s="125"/>
      <c r="AB105" s="125"/>
      <c r="AC105" s="125" t="n">
        <f aca="false">Tabela54[[#This Row],[Kolumna22]]*12</f>
        <v>0</v>
      </c>
      <c r="AD105" s="122" t="n">
        <f aca="false">Tabela54[[#This Row],[Kolumna3]]/4.44</f>
        <v>0</v>
      </c>
      <c r="AE105" s="120" t="n">
        <f aca="false">Tabela54[[#This Row],[Kolumna23]]*Tabela54[[#This Row],[Kolumna63]]</f>
        <v>0</v>
      </c>
      <c r="AF105" s="120"/>
      <c r="AG105" s="122" t="n">
        <f aca="false">Tabela54[[#This Row],[Kolumna12]]*12</f>
        <v>0</v>
      </c>
      <c r="AH105" s="122" t="n">
        <f aca="false">Tabela54[[#This Row],[Kolumna222]]/1.59</f>
        <v>0</v>
      </c>
      <c r="AI105" s="119" t="n">
        <f aca="false">Tabela54[[#This Row],[Kolumna223]]*Tabela54[[#This Row],[Kolumna63]]</f>
        <v>0</v>
      </c>
      <c r="AJ105" s="119" t="n">
        <v>500</v>
      </c>
      <c r="AK105" s="122" t="n">
        <f aca="false">Tabela54[[#This Row],[Kolumna34]]*12</f>
        <v>6000</v>
      </c>
      <c r="AL105" s="122" t="n">
        <f aca="false">Tabela54[[#This Row],[Kolumna32]]/4.2</f>
        <v>1428.57142857143</v>
      </c>
      <c r="AM105" s="119" t="n">
        <f aca="false">Tabela54[[#This Row],[Kolumna322]]*Tabela54[[#This Row],[Kolumna63]]</f>
        <v>857.142857142857</v>
      </c>
      <c r="AN105" s="122"/>
      <c r="AO105" s="122" t="n">
        <f aca="false">Tabela54[[#This Row],[Kolumna5]]*Tabela54[[#This Row],[Kolumna63]]</f>
        <v>0</v>
      </c>
      <c r="AP105" s="53" t="n">
        <v>0.6</v>
      </c>
      <c r="AQ105" s="29"/>
      <c r="AR105" s="29"/>
      <c r="AS105" s="29"/>
      <c r="AT105" s="29"/>
    </row>
    <row r="106" customFormat="false" ht="30" hidden="false" customHeight="true" outlineLevel="0" collapsed="false">
      <c r="A106" s="25" t="n">
        <v>99</v>
      </c>
      <c r="B106" s="27" t="s">
        <v>241</v>
      </c>
      <c r="C106" s="49" t="s">
        <v>248</v>
      </c>
      <c r="D106" s="134"/>
      <c r="E106" s="135" t="n">
        <v>120</v>
      </c>
      <c r="F10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250.7241</v>
      </c>
      <c r="G106" s="135"/>
      <c r="H106" s="130"/>
      <c r="I106" s="26" t="n">
        <f aca="false">Tabela43[[#This Row],[Kolumna5]]*20700*0.27778</f>
        <v>0</v>
      </c>
      <c r="J106" s="130"/>
      <c r="K106" s="130"/>
      <c r="L106" s="28" t="n">
        <f aca="false">Tabela43[[#This Row],[Kolumna8]]*0.000843882*40190*0.27778</f>
        <v>0</v>
      </c>
      <c r="M106" s="130"/>
      <c r="N106" s="146" t="n">
        <f aca="false">Tabela43[[#This Row],[Kolumna84]]/2.55</f>
        <v>0</v>
      </c>
      <c r="O106" s="28" t="n">
        <f aca="false">Tabela43[[#This Row],[Kolumna82]]*35.94*0.27778</f>
        <v>0</v>
      </c>
      <c r="P106" s="130"/>
      <c r="Q106" s="130"/>
      <c r="R106" s="130" t="n">
        <v>10</v>
      </c>
      <c r="S106" s="116" t="n">
        <f aca="false">Tabela43[[#This Row],[Kolumna92]]*0.65</f>
        <v>6.5</v>
      </c>
      <c r="T106" s="28" t="n">
        <f aca="false">Tabela43[[#This Row],[Kolumna10]]*15600*0.27778</f>
        <v>28166.892</v>
      </c>
      <c r="U106" s="130"/>
      <c r="V106" s="130"/>
      <c r="W106" s="130"/>
      <c r="X106" s="130" t="n">
        <v>160</v>
      </c>
      <c r="Y106" s="130" t="n">
        <f aca="false">Tabela43[[#This Row],[Kolumna1223]]*12</f>
        <v>1920</v>
      </c>
      <c r="Z106" s="28" t="n">
        <f aca="false">Tabela43[[#This Row],[Kolumna123]]/0.55</f>
        <v>3490.90909090909</v>
      </c>
      <c r="AA106" s="125"/>
      <c r="AB106" s="125" t="n">
        <v>200</v>
      </c>
      <c r="AC106" s="125" t="n">
        <f aca="false">Tabela54[[#This Row],[Kolumna22]]*12</f>
        <v>2400</v>
      </c>
      <c r="AD106" s="122" t="n">
        <f aca="false">Tabela54[[#This Row],[Kolumna3]]/4.44</f>
        <v>540.540540540541</v>
      </c>
      <c r="AE106" s="120" t="n">
        <f aca="false">Tabela54[[#This Row],[Kolumna23]]*Tabela54[[#This Row],[Kolumna63]]</f>
        <v>162.162162162162</v>
      </c>
      <c r="AF106" s="120" t="n">
        <v>100</v>
      </c>
      <c r="AG106" s="122" t="n">
        <f aca="false">Tabela54[[#This Row],[Kolumna12]]*12</f>
        <v>1200</v>
      </c>
      <c r="AH106" s="122" t="n">
        <f aca="false">Tabela54[[#This Row],[Kolumna222]]/1.59</f>
        <v>754.716981132076</v>
      </c>
      <c r="AI106" s="119" t="n">
        <f aca="false">Tabela54[[#This Row],[Kolumna223]]*Tabela54[[#This Row],[Kolumna63]]</f>
        <v>226.415094339623</v>
      </c>
      <c r="AJ106" s="119"/>
      <c r="AK106" s="122" t="n">
        <f aca="false">Tabela54[[#This Row],[Kolumna34]]*12</f>
        <v>0</v>
      </c>
      <c r="AL106" s="122" t="n">
        <f aca="false">Tabela54[[#This Row],[Kolumna32]]/4.2</f>
        <v>0</v>
      </c>
      <c r="AM106" s="119" t="n">
        <f aca="false">Tabela54[[#This Row],[Kolumna322]]*Tabela54[[#This Row],[Kolumna63]]</f>
        <v>0</v>
      </c>
      <c r="AN106" s="122"/>
      <c r="AO106" s="122" t="n">
        <f aca="false">Tabela54[[#This Row],[Kolumna5]]*Tabela54[[#This Row],[Kolumna63]]</f>
        <v>0</v>
      </c>
      <c r="AP106" s="53" t="n">
        <v>0.3</v>
      </c>
      <c r="AQ106" s="29"/>
      <c r="AR106" s="29"/>
      <c r="AS106" s="29"/>
      <c r="AT106" s="29"/>
    </row>
    <row r="107" customFormat="false" ht="30" hidden="false" customHeight="true" outlineLevel="0" collapsed="false">
      <c r="A107" s="25" t="n">
        <v>100</v>
      </c>
      <c r="B107" s="27" t="s">
        <v>241</v>
      </c>
      <c r="C107" s="49" t="s">
        <v>248</v>
      </c>
      <c r="D107" s="134"/>
      <c r="E107" s="135" t="n">
        <v>80</v>
      </c>
      <c r="F10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440.50338</v>
      </c>
      <c r="G107" s="135"/>
      <c r="H107" s="130"/>
      <c r="I107" s="26" t="n">
        <f aca="false">Tabela43[[#This Row],[Kolumna5]]*20700*0.27778</f>
        <v>0</v>
      </c>
      <c r="J107" s="130"/>
      <c r="K107" s="130"/>
      <c r="L107" s="28" t="n">
        <f aca="false">Tabela43[[#This Row],[Kolumna8]]*0.000843882*40190*0.27778</f>
        <v>0</v>
      </c>
      <c r="M107" s="130"/>
      <c r="N107" s="146" t="n">
        <f aca="false">Tabela43[[#This Row],[Kolumna84]]/2.55</f>
        <v>0</v>
      </c>
      <c r="O107" s="28" t="n">
        <f aca="false">Tabela43[[#This Row],[Kolumna82]]*35.94*0.27778</f>
        <v>0</v>
      </c>
      <c r="P107" s="130"/>
      <c r="Q107" s="130"/>
      <c r="R107" s="130" t="n">
        <v>12</v>
      </c>
      <c r="S107" s="116" t="n">
        <f aca="false">Tabela43[[#This Row],[Kolumna92]]*0.65</f>
        <v>7.8</v>
      </c>
      <c r="T107" s="28" t="n">
        <f aca="false">Tabela43[[#This Row],[Kolumna10]]*15600*0.27778</f>
        <v>33800.2704</v>
      </c>
      <c r="U107" s="130"/>
      <c r="V107" s="130"/>
      <c r="W107" s="130"/>
      <c r="X107" s="130" t="n">
        <v>120</v>
      </c>
      <c r="Y107" s="130" t="n">
        <f aca="false">Tabela43[[#This Row],[Kolumna1223]]*12</f>
        <v>1440</v>
      </c>
      <c r="Z107" s="28" t="n">
        <f aca="false">Tabela43[[#This Row],[Kolumna123]]/0.55</f>
        <v>2618.18181818182</v>
      </c>
      <c r="AA107" s="125"/>
      <c r="AB107" s="125"/>
      <c r="AC107" s="125" t="n">
        <f aca="false">Tabela54[[#This Row],[Kolumna22]]*12</f>
        <v>0</v>
      </c>
      <c r="AD107" s="122" t="n">
        <f aca="false">Tabela54[[#This Row],[Kolumna3]]/4.44</f>
        <v>0</v>
      </c>
      <c r="AE107" s="120" t="n">
        <f aca="false">Tabela54[[#This Row],[Kolumna23]]*Tabela54[[#This Row],[Kolumna63]]</f>
        <v>0</v>
      </c>
      <c r="AF107" s="120"/>
      <c r="AG107" s="122" t="n">
        <f aca="false">Tabela54[[#This Row],[Kolumna12]]*12</f>
        <v>0</v>
      </c>
      <c r="AH107" s="122" t="n">
        <f aca="false">Tabela54[[#This Row],[Kolumna222]]/1.59</f>
        <v>0</v>
      </c>
      <c r="AI107" s="119" t="n">
        <f aca="false">Tabela54[[#This Row],[Kolumna223]]*Tabela54[[#This Row],[Kolumna63]]</f>
        <v>0</v>
      </c>
      <c r="AJ107" s="119" t="n">
        <v>300</v>
      </c>
      <c r="AK107" s="122" t="n">
        <f aca="false">Tabela54[[#This Row],[Kolumna34]]*12</f>
        <v>3600</v>
      </c>
      <c r="AL107" s="122" t="n">
        <f aca="false">Tabela54[[#This Row],[Kolumna32]]/4.2</f>
        <v>857.142857142857</v>
      </c>
      <c r="AM107" s="119" t="n">
        <f aca="false">Tabela54[[#This Row],[Kolumna322]]*Tabela54[[#This Row],[Kolumna63]]</f>
        <v>171.428571428571</v>
      </c>
      <c r="AN107" s="122"/>
      <c r="AO107" s="122" t="n">
        <f aca="false">Tabela54[[#This Row],[Kolumna5]]*Tabela54[[#This Row],[Kolumna63]]</f>
        <v>0</v>
      </c>
      <c r="AP107" s="53" t="n">
        <v>0.2</v>
      </c>
      <c r="AQ107" s="29"/>
      <c r="AR107" s="29"/>
      <c r="AS107" s="29"/>
      <c r="AT107" s="29"/>
    </row>
    <row r="108" customFormat="false" ht="30" hidden="false" customHeight="true" outlineLevel="0" collapsed="false">
      <c r="A108" s="40" t="n">
        <v>101</v>
      </c>
      <c r="B108" s="27" t="s">
        <v>241</v>
      </c>
      <c r="C108" s="49" t="s">
        <v>248</v>
      </c>
      <c r="D108" s="134"/>
      <c r="E108" s="135" t="n">
        <v>180</v>
      </c>
      <c r="F10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256.335106666667</v>
      </c>
      <c r="G108" s="135"/>
      <c r="H108" s="130" t="n">
        <v>4</v>
      </c>
      <c r="I108" s="26" t="n">
        <f aca="false">Tabela43[[#This Row],[Kolumna5]]*20700*0.27778</f>
        <v>23000.184</v>
      </c>
      <c r="J108" s="130"/>
      <c r="K108" s="130"/>
      <c r="L108" s="28" t="n">
        <f aca="false">Tabela43[[#This Row],[Kolumna8]]*0.000843882*40190*0.27778</f>
        <v>0</v>
      </c>
      <c r="M108" s="130"/>
      <c r="N108" s="146" t="n">
        <f aca="false">Tabela43[[#This Row],[Kolumna84]]/2.55</f>
        <v>0</v>
      </c>
      <c r="O108" s="28" t="n">
        <f aca="false">Tabela43[[#This Row],[Kolumna82]]*35.94*0.27778</f>
        <v>0</v>
      </c>
      <c r="P108" s="130"/>
      <c r="Q108" s="130"/>
      <c r="R108" s="130" t="n">
        <v>6</v>
      </c>
      <c r="S108" s="116" t="n">
        <f aca="false">Tabela43[[#This Row],[Kolumna92]]*0.65</f>
        <v>3.9</v>
      </c>
      <c r="T108" s="28" t="n">
        <f aca="false">Tabela43[[#This Row],[Kolumna10]]*15600*0.27778</f>
        <v>16900.1352</v>
      </c>
      <c r="U108" s="130" t="n">
        <v>3600</v>
      </c>
      <c r="V108" s="130"/>
      <c r="W108" s="130"/>
      <c r="X108" s="130" t="n">
        <v>220</v>
      </c>
      <c r="Y108" s="130" t="n">
        <f aca="false">Tabela43[[#This Row],[Kolumna1223]]*12</f>
        <v>2640</v>
      </c>
      <c r="Z108" s="28" t="n">
        <f aca="false">Tabela43[[#This Row],[Kolumna123]]/0.55</f>
        <v>4800</v>
      </c>
      <c r="AA108" s="125"/>
      <c r="AB108" s="125" t="n">
        <v>300</v>
      </c>
      <c r="AC108" s="125" t="n">
        <f aca="false">Tabela54[[#This Row],[Kolumna22]]*12</f>
        <v>3600</v>
      </c>
      <c r="AD108" s="122" t="n">
        <f aca="false">Tabela54[[#This Row],[Kolumna3]]/4.44</f>
        <v>810.810810810811</v>
      </c>
      <c r="AE108" s="120" t="n">
        <f aca="false">Tabela54[[#This Row],[Kolumna23]]*Tabela54[[#This Row],[Kolumna63]]</f>
        <v>486.486486486486</v>
      </c>
      <c r="AF108" s="120" t="n">
        <v>100</v>
      </c>
      <c r="AG108" s="122" t="n">
        <f aca="false">Tabela54[[#This Row],[Kolumna12]]*12</f>
        <v>1200</v>
      </c>
      <c r="AH108" s="122" t="n">
        <f aca="false">Tabela54[[#This Row],[Kolumna222]]/1.59</f>
        <v>754.716981132076</v>
      </c>
      <c r="AI108" s="119" t="n">
        <f aca="false">Tabela54[[#This Row],[Kolumna223]]*Tabela54[[#This Row],[Kolumna63]]</f>
        <v>452.830188679245</v>
      </c>
      <c r="AJ108" s="119" t="n">
        <v>400</v>
      </c>
      <c r="AK108" s="122" t="n">
        <f aca="false">Tabela54[[#This Row],[Kolumna34]]*12</f>
        <v>4800</v>
      </c>
      <c r="AL108" s="122" t="n">
        <f aca="false">Tabela54[[#This Row],[Kolumna32]]/4.2</f>
        <v>1142.85714285714</v>
      </c>
      <c r="AM108" s="119" t="n">
        <f aca="false">Tabela54[[#This Row],[Kolumna322]]*Tabela54[[#This Row],[Kolumna63]]</f>
        <v>685.714285714286</v>
      </c>
      <c r="AN108" s="122"/>
      <c r="AO108" s="122" t="n">
        <f aca="false">Tabela54[[#This Row],[Kolumna5]]*Tabela54[[#This Row],[Kolumna63]]</f>
        <v>0</v>
      </c>
      <c r="AP108" s="53" t="n">
        <v>0.6</v>
      </c>
      <c r="AQ108" s="29"/>
      <c r="AR108" s="29"/>
      <c r="AS108" s="29"/>
      <c r="AT108" s="29"/>
    </row>
    <row r="109" customFormat="false" ht="30" hidden="false" customHeight="true" outlineLevel="0" collapsed="false">
      <c r="A109" s="25" t="n">
        <v>102</v>
      </c>
      <c r="B109" s="27" t="s">
        <v>241</v>
      </c>
      <c r="C109" s="49" t="s">
        <v>248</v>
      </c>
      <c r="D109" s="134"/>
      <c r="E109" s="135" t="n">
        <v>160</v>
      </c>
      <c r="F10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262.91865</v>
      </c>
      <c r="G109" s="135"/>
      <c r="H109" s="130" t="n">
        <v>2</v>
      </c>
      <c r="I109" s="26" t="n">
        <f aca="false">Tabela43[[#This Row],[Kolumna5]]*20700*0.27778</f>
        <v>11500.092</v>
      </c>
      <c r="J109" s="130"/>
      <c r="K109" s="130"/>
      <c r="L109" s="28" t="n">
        <f aca="false">Tabela43[[#This Row],[Kolumna8]]*0.000843882*40190*0.27778</f>
        <v>0</v>
      </c>
      <c r="M109" s="130"/>
      <c r="N109" s="146" t="n">
        <f aca="false">Tabela43[[#This Row],[Kolumna84]]/2.55</f>
        <v>0</v>
      </c>
      <c r="O109" s="28" t="n">
        <f aca="false">Tabela43[[#This Row],[Kolumna82]]*35.94*0.27778</f>
        <v>0</v>
      </c>
      <c r="P109" s="130"/>
      <c r="Q109" s="130"/>
      <c r="R109" s="130" t="n">
        <v>10</v>
      </c>
      <c r="S109" s="116" t="n">
        <f aca="false">Tabela43[[#This Row],[Kolumna92]]*0.65</f>
        <v>6.5</v>
      </c>
      <c r="T109" s="28" t="n">
        <f aca="false">Tabela43[[#This Row],[Kolumna10]]*15600*0.27778</f>
        <v>28166.892</v>
      </c>
      <c r="U109" s="130"/>
      <c r="V109" s="130"/>
      <c r="W109" s="130"/>
      <c r="X109" s="130" t="n">
        <v>200</v>
      </c>
      <c r="Y109" s="130" t="n">
        <f aca="false">Tabela43[[#This Row],[Kolumna1223]]*12</f>
        <v>2400</v>
      </c>
      <c r="Z109" s="28" t="n">
        <f aca="false">Tabela43[[#This Row],[Kolumna123]]/0.55</f>
        <v>4363.63636363636</v>
      </c>
      <c r="AA109" s="125"/>
      <c r="AB109" s="125" t="n">
        <v>200</v>
      </c>
      <c r="AC109" s="125" t="n">
        <f aca="false">Tabela54[[#This Row],[Kolumna22]]*12</f>
        <v>2400</v>
      </c>
      <c r="AD109" s="122" t="n">
        <f aca="false">Tabela54[[#This Row],[Kolumna3]]/4.44</f>
        <v>540.540540540541</v>
      </c>
      <c r="AE109" s="120" t="n">
        <f aca="false">Tabela54[[#This Row],[Kolumna23]]*Tabela54[[#This Row],[Kolumna63]]</f>
        <v>54.0540540540541</v>
      </c>
      <c r="AF109" s="120"/>
      <c r="AG109" s="122" t="n">
        <f aca="false">Tabela54[[#This Row],[Kolumna12]]*12</f>
        <v>0</v>
      </c>
      <c r="AH109" s="122" t="n">
        <f aca="false">Tabela54[[#This Row],[Kolumna222]]/1.59</f>
        <v>0</v>
      </c>
      <c r="AI109" s="119" t="n">
        <f aca="false">Tabela54[[#This Row],[Kolumna223]]*Tabela54[[#This Row],[Kolumna63]]</f>
        <v>0</v>
      </c>
      <c r="AJ109" s="119"/>
      <c r="AK109" s="122" t="n">
        <f aca="false">Tabela54[[#This Row],[Kolumna34]]*12</f>
        <v>0</v>
      </c>
      <c r="AL109" s="122" t="n">
        <f aca="false">Tabela54[[#This Row],[Kolumna32]]/4.2</f>
        <v>0</v>
      </c>
      <c r="AM109" s="119" t="n">
        <f aca="false">Tabela54[[#This Row],[Kolumna322]]*Tabela54[[#This Row],[Kolumna63]]</f>
        <v>0</v>
      </c>
      <c r="AN109" s="122"/>
      <c r="AO109" s="122" t="n">
        <f aca="false">Tabela54[[#This Row],[Kolumna5]]*Tabela54[[#This Row],[Kolumna63]]</f>
        <v>0</v>
      </c>
      <c r="AP109" s="53" t="n">
        <v>0.1</v>
      </c>
      <c r="AQ109" s="29"/>
      <c r="AR109" s="29"/>
      <c r="AS109" s="29"/>
      <c r="AT109" s="29"/>
    </row>
    <row r="110" customFormat="false" ht="30" hidden="false" customHeight="true" outlineLevel="0" collapsed="false">
      <c r="A110" s="25" t="n">
        <v>103</v>
      </c>
      <c r="B110" s="27" t="s">
        <v>241</v>
      </c>
      <c r="C110" s="49" t="s">
        <v>248</v>
      </c>
      <c r="D110" s="134"/>
      <c r="E110" s="135" t="n">
        <v>120</v>
      </c>
      <c r="F11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297.66892</v>
      </c>
      <c r="G110" s="135"/>
      <c r="H110" s="130"/>
      <c r="I110" s="26" t="n">
        <f aca="false">Tabela43[[#This Row],[Kolumna5]]*20700*0.27778</f>
        <v>0</v>
      </c>
      <c r="J110" s="130"/>
      <c r="K110" s="130"/>
      <c r="L110" s="28" t="n">
        <f aca="false">Tabela43[[#This Row],[Kolumna8]]*0.000843882*40190*0.27778</f>
        <v>0</v>
      </c>
      <c r="M110" s="130"/>
      <c r="N110" s="146" t="n">
        <f aca="false">Tabela43[[#This Row],[Kolumna84]]/2.55</f>
        <v>0</v>
      </c>
      <c r="O110" s="28" t="n">
        <f aca="false">Tabela43[[#This Row],[Kolumna82]]*35.94*0.27778</f>
        <v>0</v>
      </c>
      <c r="P110" s="130"/>
      <c r="Q110" s="130"/>
      <c r="R110" s="130" t="n">
        <v>12</v>
      </c>
      <c r="S110" s="116" t="n">
        <f aca="false">Tabela43[[#This Row],[Kolumna92]]*0.65</f>
        <v>7.8</v>
      </c>
      <c r="T110" s="28" t="n">
        <f aca="false">Tabela43[[#This Row],[Kolumna10]]*15600*0.27778</f>
        <v>33800.2704</v>
      </c>
      <c r="U110" s="130"/>
      <c r="V110" s="130"/>
      <c r="W110" s="130"/>
      <c r="X110" s="130" t="n">
        <v>160</v>
      </c>
      <c r="Y110" s="130" t="n">
        <f aca="false">Tabela43[[#This Row],[Kolumna1223]]*12</f>
        <v>1920</v>
      </c>
      <c r="Z110" s="28" t="n">
        <f aca="false">Tabela43[[#This Row],[Kolumna123]]/0.55</f>
        <v>3490.90909090909</v>
      </c>
      <c r="AA110" s="125"/>
      <c r="AB110" s="125" t="n">
        <v>150</v>
      </c>
      <c r="AC110" s="125" t="n">
        <f aca="false">Tabela54[[#This Row],[Kolumna22]]*12</f>
        <v>1800</v>
      </c>
      <c r="AD110" s="122" t="n">
        <f aca="false">Tabela54[[#This Row],[Kolumna3]]/4.44</f>
        <v>405.405405405405</v>
      </c>
      <c r="AE110" s="120" t="n">
        <f aca="false">Tabela54[[#This Row],[Kolumna23]]*Tabela54[[#This Row],[Kolumna63]]</f>
        <v>20.2702702702703</v>
      </c>
      <c r="AF110" s="120"/>
      <c r="AG110" s="122" t="n">
        <f aca="false">Tabela54[[#This Row],[Kolumna12]]*12</f>
        <v>0</v>
      </c>
      <c r="AH110" s="122" t="n">
        <f aca="false">Tabela54[[#This Row],[Kolumna222]]/1.59</f>
        <v>0</v>
      </c>
      <c r="AI110" s="119" t="n">
        <f aca="false">Tabela54[[#This Row],[Kolumna223]]*Tabela54[[#This Row],[Kolumna63]]</f>
        <v>0</v>
      </c>
      <c r="AJ110" s="119"/>
      <c r="AK110" s="122" t="n">
        <f aca="false">Tabela54[[#This Row],[Kolumna34]]*12</f>
        <v>0</v>
      </c>
      <c r="AL110" s="122" t="n">
        <f aca="false">Tabela54[[#This Row],[Kolumna32]]/4.2</f>
        <v>0</v>
      </c>
      <c r="AM110" s="119" t="n">
        <f aca="false">Tabela54[[#This Row],[Kolumna322]]*Tabela54[[#This Row],[Kolumna63]]</f>
        <v>0</v>
      </c>
      <c r="AN110" s="122"/>
      <c r="AO110" s="122" t="n">
        <f aca="false">Tabela54[[#This Row],[Kolumna5]]*Tabela54[[#This Row],[Kolumna63]]</f>
        <v>0</v>
      </c>
      <c r="AP110" s="53" t="n">
        <v>0.05</v>
      </c>
      <c r="AQ110" s="29"/>
      <c r="AR110" s="29"/>
      <c r="AS110" s="29"/>
      <c r="AT110" s="29"/>
    </row>
    <row r="111" customFormat="false" ht="30" hidden="false" customHeight="true" outlineLevel="0" collapsed="false">
      <c r="A111" s="40" t="n">
        <v>104</v>
      </c>
      <c r="B111" s="27" t="s">
        <v>241</v>
      </c>
      <c r="C111" s="49" t="s">
        <v>248</v>
      </c>
      <c r="D111" s="134"/>
      <c r="E111" s="135" t="n">
        <v>80</v>
      </c>
      <c r="F11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440.50338</v>
      </c>
      <c r="G111" s="135"/>
      <c r="H111" s="130"/>
      <c r="I111" s="26" t="n">
        <f aca="false">Tabela43[[#This Row],[Kolumna5]]*20700*0.27778</f>
        <v>0</v>
      </c>
      <c r="J111" s="130"/>
      <c r="K111" s="130"/>
      <c r="L111" s="28" t="n">
        <f aca="false">Tabela43[[#This Row],[Kolumna8]]*0.000843882*40190*0.27778</f>
        <v>0</v>
      </c>
      <c r="M111" s="130"/>
      <c r="N111" s="146" t="n">
        <f aca="false">Tabela43[[#This Row],[Kolumna84]]/2.55</f>
        <v>0</v>
      </c>
      <c r="O111" s="28" t="n">
        <f aca="false">Tabela43[[#This Row],[Kolumna82]]*35.94*0.27778</f>
        <v>0</v>
      </c>
      <c r="P111" s="128"/>
      <c r="Q111" s="130"/>
      <c r="R111" s="130" t="n">
        <v>12</v>
      </c>
      <c r="S111" s="116" t="n">
        <f aca="false">Tabela43[[#This Row],[Kolumna92]]*0.65</f>
        <v>7.8</v>
      </c>
      <c r="T111" s="28" t="n">
        <f aca="false">Tabela43[[#This Row],[Kolumna10]]*15600*0.27778</f>
        <v>33800.2704</v>
      </c>
      <c r="U111" s="130"/>
      <c r="V111" s="130"/>
      <c r="W111" s="130"/>
      <c r="X111" s="130" t="n">
        <v>120</v>
      </c>
      <c r="Y111" s="130" t="n">
        <f aca="false">Tabela43[[#This Row],[Kolumna1223]]*12</f>
        <v>1440</v>
      </c>
      <c r="Z111" s="28" t="n">
        <f aca="false">Tabela43[[#This Row],[Kolumna123]]/0.55</f>
        <v>2618.18181818182</v>
      </c>
      <c r="AA111" s="125"/>
      <c r="AB111" s="125" t="n">
        <v>200</v>
      </c>
      <c r="AC111" s="125" t="n">
        <f aca="false">Tabela54[[#This Row],[Kolumna22]]*12</f>
        <v>2400</v>
      </c>
      <c r="AD111" s="122" t="n">
        <f aca="false">Tabela54[[#This Row],[Kolumna3]]/4.44</f>
        <v>540.540540540541</v>
      </c>
      <c r="AE111" s="120" t="n">
        <f aca="false">Tabela54[[#This Row],[Kolumna23]]*Tabela54[[#This Row],[Kolumna63]]</f>
        <v>108.108108108108</v>
      </c>
      <c r="AF111" s="120"/>
      <c r="AG111" s="122" t="n">
        <f aca="false">Tabela54[[#This Row],[Kolumna12]]*12</f>
        <v>0</v>
      </c>
      <c r="AH111" s="122" t="n">
        <f aca="false">Tabela54[[#This Row],[Kolumna222]]/1.59</f>
        <v>0</v>
      </c>
      <c r="AI111" s="119" t="n">
        <f aca="false">Tabela54[[#This Row],[Kolumna223]]*Tabela54[[#This Row],[Kolumna63]]</f>
        <v>0</v>
      </c>
      <c r="AJ111" s="119"/>
      <c r="AK111" s="122" t="n">
        <f aca="false">Tabela54[[#This Row],[Kolumna34]]*12</f>
        <v>0</v>
      </c>
      <c r="AL111" s="122" t="n">
        <f aca="false">Tabela54[[#This Row],[Kolumna32]]/4.2</f>
        <v>0</v>
      </c>
      <c r="AM111" s="119" t="n">
        <f aca="false">Tabela54[[#This Row],[Kolumna322]]*Tabela54[[#This Row],[Kolumna63]]</f>
        <v>0</v>
      </c>
      <c r="AN111" s="122"/>
      <c r="AO111" s="122" t="n">
        <f aca="false">Tabela54[[#This Row],[Kolumna5]]*Tabela54[[#This Row],[Kolumna63]]</f>
        <v>0</v>
      </c>
      <c r="AP111" s="53" t="n">
        <v>0.2</v>
      </c>
      <c r="AQ111" s="29"/>
      <c r="AR111" s="29"/>
      <c r="AS111" s="29"/>
      <c r="AT111" s="29"/>
    </row>
    <row r="112" customFormat="false" ht="30" hidden="false" customHeight="true" outlineLevel="0" collapsed="false">
      <c r="A112" s="25" t="n">
        <v>105</v>
      </c>
      <c r="B112" s="27" t="s">
        <v>241</v>
      </c>
      <c r="C112" s="49" t="s">
        <v>248</v>
      </c>
      <c r="D112" s="134"/>
      <c r="E112" s="135" t="n">
        <v>120</v>
      </c>
      <c r="F11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345.5582</v>
      </c>
      <c r="G112" s="135"/>
      <c r="H112" s="130" t="n">
        <v>2</v>
      </c>
      <c r="I112" s="26" t="n">
        <f aca="false">Tabela43[[#This Row],[Kolumna5]]*20700*0.27778</f>
        <v>11500.092</v>
      </c>
      <c r="J112" s="130"/>
      <c r="K112" s="130"/>
      <c r="L112" s="28" t="n">
        <f aca="false">Tabela43[[#This Row],[Kolumna8]]*0.000843882*40190*0.27778</f>
        <v>0</v>
      </c>
      <c r="M112" s="130"/>
      <c r="N112" s="146" t="n">
        <f aca="false">Tabela43[[#This Row],[Kolumna84]]/2.55</f>
        <v>0</v>
      </c>
      <c r="O112" s="28" t="n">
        <f aca="false">Tabela43[[#This Row],[Kolumna82]]*35.94*0.27778</f>
        <v>0</v>
      </c>
      <c r="P112" s="130"/>
      <c r="Q112" s="130"/>
      <c r="R112" s="130" t="n">
        <v>10</v>
      </c>
      <c r="S112" s="116" t="n">
        <f aca="false">Tabela43[[#This Row],[Kolumna92]]*0.65</f>
        <v>6.5</v>
      </c>
      <c r="T112" s="28" t="n">
        <f aca="false">Tabela43[[#This Row],[Kolumna10]]*15600*0.27778</f>
        <v>28166.892</v>
      </c>
      <c r="U112" s="130"/>
      <c r="V112" s="130"/>
      <c r="W112" s="130"/>
      <c r="X112" s="130" t="n">
        <v>150</v>
      </c>
      <c r="Y112" s="130" t="n">
        <f aca="false">Tabela43[[#This Row],[Kolumna1223]]*12</f>
        <v>1800</v>
      </c>
      <c r="Z112" s="28" t="n">
        <f aca="false">Tabela43[[#This Row],[Kolumna123]]/0.55</f>
        <v>3272.72727272727</v>
      </c>
      <c r="AA112" s="125"/>
      <c r="AB112" s="125"/>
      <c r="AC112" s="125" t="n">
        <f aca="false">Tabela54[[#This Row],[Kolumna22]]*12</f>
        <v>0</v>
      </c>
      <c r="AD112" s="122" t="n">
        <f aca="false">Tabela54[[#This Row],[Kolumna3]]/4.44</f>
        <v>0</v>
      </c>
      <c r="AE112" s="120" t="n">
        <f aca="false">Tabela54[[#This Row],[Kolumna23]]*Tabela54[[#This Row],[Kolumna63]]</f>
        <v>0</v>
      </c>
      <c r="AF112" s="120"/>
      <c r="AG112" s="122" t="n">
        <f aca="false">Tabela54[[#This Row],[Kolumna12]]*12</f>
        <v>0</v>
      </c>
      <c r="AH112" s="122" t="n">
        <f aca="false">Tabela54[[#This Row],[Kolumna222]]/1.59</f>
        <v>0</v>
      </c>
      <c r="AI112" s="119" t="n">
        <f aca="false">Tabela54[[#This Row],[Kolumna223]]*Tabela54[[#This Row],[Kolumna63]]</f>
        <v>0</v>
      </c>
      <c r="AJ112" s="119" t="n">
        <v>300</v>
      </c>
      <c r="AK112" s="122" t="n">
        <f aca="false">Tabela54[[#This Row],[Kolumna34]]*12</f>
        <v>3600</v>
      </c>
      <c r="AL112" s="122" t="n">
        <f aca="false">Tabela54[[#This Row],[Kolumna32]]/4.2</f>
        <v>857.142857142857</v>
      </c>
      <c r="AM112" s="119" t="n">
        <f aca="false">Tabela54[[#This Row],[Kolumna322]]*Tabela54[[#This Row],[Kolumna63]]</f>
        <v>257.142857142857</v>
      </c>
      <c r="AN112" s="122"/>
      <c r="AO112" s="122" t="n">
        <f aca="false">Tabela54[[#This Row],[Kolumna5]]*Tabela54[[#This Row],[Kolumna63]]</f>
        <v>0</v>
      </c>
      <c r="AP112" s="53" t="n">
        <v>0.3</v>
      </c>
      <c r="AQ112" s="29"/>
      <c r="AR112" s="29"/>
      <c r="AS112" s="29"/>
      <c r="AT112" s="29"/>
    </row>
    <row r="113" customFormat="false" ht="30" hidden="false" customHeight="true" outlineLevel="0" collapsed="false">
      <c r="A113" s="25" t="n">
        <v>106</v>
      </c>
      <c r="B113" s="27" t="s">
        <v>241</v>
      </c>
      <c r="C113" s="49" t="s">
        <v>248</v>
      </c>
      <c r="D113" s="134"/>
      <c r="E113" s="135" t="n">
        <v>120</v>
      </c>
      <c r="F11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249.7241</v>
      </c>
      <c r="G113" s="135"/>
      <c r="H113" s="130"/>
      <c r="I113" s="26" t="n">
        <f aca="false">Tabela43[[#This Row],[Kolumna5]]*20700*0.27778</f>
        <v>0</v>
      </c>
      <c r="J113" s="130"/>
      <c r="K113" s="130"/>
      <c r="L113" s="28" t="n">
        <f aca="false">Tabela43[[#This Row],[Kolumna8]]*0.000843882*40190*0.27778</f>
        <v>0</v>
      </c>
      <c r="M113" s="130"/>
      <c r="N113" s="146" t="n">
        <f aca="false">Tabela43[[#This Row],[Kolumna84]]/2.55</f>
        <v>0</v>
      </c>
      <c r="O113" s="28" t="n">
        <f aca="false">Tabela43[[#This Row],[Kolumna82]]*35.94*0.27778</f>
        <v>0</v>
      </c>
      <c r="P113" s="130"/>
      <c r="Q113" s="130"/>
      <c r="R113" s="130" t="n">
        <v>10</v>
      </c>
      <c r="S113" s="116" t="n">
        <f aca="false">Tabela43[[#This Row],[Kolumna92]]*0.65</f>
        <v>6.5</v>
      </c>
      <c r="T113" s="28" t="n">
        <f aca="false">Tabela43[[#This Row],[Kolumna10]]*15600*0.27778</f>
        <v>28166.892</v>
      </c>
      <c r="U113" s="130"/>
      <c r="V113" s="130"/>
      <c r="W113" s="130"/>
      <c r="X113" s="130" t="n">
        <v>150</v>
      </c>
      <c r="Y113" s="130" t="n">
        <f aca="false">Tabela43[[#This Row],[Kolumna1223]]*12</f>
        <v>1800</v>
      </c>
      <c r="Z113" s="28" t="n">
        <f aca="false">Tabela43[[#This Row],[Kolumna123]]/0.55</f>
        <v>3272.72727272727</v>
      </c>
      <c r="AA113" s="125"/>
      <c r="AB113" s="125" t="n">
        <v>200</v>
      </c>
      <c r="AC113" s="125" t="n">
        <f aca="false">Tabela54[[#This Row],[Kolumna22]]*12</f>
        <v>2400</v>
      </c>
      <c r="AD113" s="122" t="n">
        <f aca="false">Tabela54[[#This Row],[Kolumna3]]/4.44</f>
        <v>540.540540540541</v>
      </c>
      <c r="AE113" s="120" t="n">
        <f aca="false">Tabela54[[#This Row],[Kolumna23]]*Tabela54[[#This Row],[Kolumna63]]</f>
        <v>54.0540540540541</v>
      </c>
      <c r="AF113" s="120"/>
      <c r="AG113" s="122" t="n">
        <f aca="false">Tabela54[[#This Row],[Kolumna12]]*12</f>
        <v>0</v>
      </c>
      <c r="AH113" s="122" t="n">
        <f aca="false">Tabela54[[#This Row],[Kolumna222]]/1.59</f>
        <v>0</v>
      </c>
      <c r="AI113" s="119" t="n">
        <f aca="false">Tabela54[[#This Row],[Kolumna223]]*Tabela54[[#This Row],[Kolumna63]]</f>
        <v>0</v>
      </c>
      <c r="AJ113" s="119"/>
      <c r="AK113" s="122" t="n">
        <f aca="false">Tabela54[[#This Row],[Kolumna34]]*12</f>
        <v>0</v>
      </c>
      <c r="AL113" s="122" t="n">
        <f aca="false">Tabela54[[#This Row],[Kolumna32]]/4.2</f>
        <v>0</v>
      </c>
      <c r="AM113" s="119" t="n">
        <f aca="false">Tabela54[[#This Row],[Kolumna322]]*Tabela54[[#This Row],[Kolumna63]]</f>
        <v>0</v>
      </c>
      <c r="AN113" s="122"/>
      <c r="AO113" s="122" t="n">
        <f aca="false">Tabela54[[#This Row],[Kolumna5]]*Tabela54[[#This Row],[Kolumna63]]</f>
        <v>0</v>
      </c>
      <c r="AP113" s="53" t="n">
        <v>0.1</v>
      </c>
      <c r="AQ113" s="29"/>
      <c r="AR113" s="29"/>
      <c r="AS113" s="29"/>
      <c r="AT113" s="29"/>
    </row>
    <row r="114" customFormat="false" ht="30" hidden="false" customHeight="true" outlineLevel="0" collapsed="false">
      <c r="A114" s="40" t="n">
        <v>107</v>
      </c>
      <c r="B114" s="27" t="s">
        <v>241</v>
      </c>
      <c r="C114" s="49" t="s">
        <v>248</v>
      </c>
      <c r="D114" s="134"/>
      <c r="E114" s="135" t="n">
        <v>160</v>
      </c>
      <c r="F11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280.5646125</v>
      </c>
      <c r="G114" s="135"/>
      <c r="H114" s="130"/>
      <c r="I114" s="26" t="n">
        <f aca="false">Tabela43[[#This Row],[Kolumna5]]*20700*0.27778</f>
        <v>0</v>
      </c>
      <c r="J114" s="130"/>
      <c r="K114" s="130"/>
      <c r="L114" s="28" t="n">
        <f aca="false">Tabela43[[#This Row],[Kolumna8]]*0.000843882*40190*0.27778</f>
        <v>0</v>
      </c>
      <c r="M114" s="130"/>
      <c r="N114" s="146" t="n">
        <f aca="false">Tabela43[[#This Row],[Kolumna84]]/2.55</f>
        <v>0</v>
      </c>
      <c r="O114" s="28" t="n">
        <f aca="false">Tabela43[[#This Row],[Kolumna82]]*35.94*0.27778</f>
        <v>0</v>
      </c>
      <c r="P114" s="130"/>
      <c r="Q114" s="130"/>
      <c r="R114" s="130" t="n">
        <v>15</v>
      </c>
      <c r="S114" s="116" t="n">
        <f aca="false">Tabela43[[#This Row],[Kolumna92]]*0.65</f>
        <v>9.75</v>
      </c>
      <c r="T114" s="28" t="n">
        <f aca="false">Tabela43[[#This Row],[Kolumna10]]*15600*0.27778</f>
        <v>42250.338</v>
      </c>
      <c r="U114" s="130"/>
      <c r="V114" s="130"/>
      <c r="W114" s="130"/>
      <c r="X114" s="130" t="n">
        <v>220</v>
      </c>
      <c r="Y114" s="130" t="n">
        <f aca="false">Tabela43[[#This Row],[Kolumna1223]]*12</f>
        <v>2640</v>
      </c>
      <c r="Z114" s="28" t="n">
        <f aca="false">Tabela43[[#This Row],[Kolumna123]]/0.55</f>
        <v>4800</v>
      </c>
      <c r="AA114" s="125"/>
      <c r="AB114" s="125" t="n">
        <v>400</v>
      </c>
      <c r="AC114" s="125" t="n">
        <f aca="false">Tabela54[[#This Row],[Kolumna22]]*12</f>
        <v>4800</v>
      </c>
      <c r="AD114" s="122" t="n">
        <f aca="false">Tabela54[[#This Row],[Kolumna3]]/4.44</f>
        <v>1081.08108108108</v>
      </c>
      <c r="AE114" s="120" t="n">
        <f aca="false">Tabela54[[#This Row],[Kolumna23]]*Tabela54[[#This Row],[Kolumna63]]</f>
        <v>216.216216216216</v>
      </c>
      <c r="AF114" s="120" t="n">
        <v>200</v>
      </c>
      <c r="AG114" s="122" t="n">
        <f aca="false">Tabela54[[#This Row],[Kolumna12]]*12</f>
        <v>2400</v>
      </c>
      <c r="AH114" s="122" t="n">
        <f aca="false">Tabela54[[#This Row],[Kolumna222]]/1.59</f>
        <v>1509.43396226415</v>
      </c>
      <c r="AI114" s="119" t="n">
        <f aca="false">Tabela54[[#This Row],[Kolumna223]]*Tabela54[[#This Row],[Kolumna63]]</f>
        <v>301.88679245283</v>
      </c>
      <c r="AJ114" s="119"/>
      <c r="AK114" s="122" t="n">
        <f aca="false">Tabela54[[#This Row],[Kolumna34]]*12</f>
        <v>0</v>
      </c>
      <c r="AL114" s="122" t="n">
        <f aca="false">Tabela54[[#This Row],[Kolumna32]]/4.2</f>
        <v>0</v>
      </c>
      <c r="AM114" s="119" t="n">
        <f aca="false">Tabela54[[#This Row],[Kolumna322]]*Tabela54[[#This Row],[Kolumna63]]</f>
        <v>0</v>
      </c>
      <c r="AN114" s="122"/>
      <c r="AO114" s="122" t="n">
        <f aca="false">Tabela54[[#This Row],[Kolumna5]]*Tabela54[[#This Row],[Kolumna63]]</f>
        <v>0</v>
      </c>
      <c r="AP114" s="53" t="n">
        <v>0.2</v>
      </c>
      <c r="AQ114" s="29"/>
      <c r="AR114" s="29"/>
      <c r="AS114" s="29"/>
      <c r="AT114" s="29"/>
    </row>
    <row r="115" customFormat="false" ht="30" hidden="false" customHeight="true" outlineLevel="0" collapsed="false">
      <c r="A115" s="25" t="n">
        <v>108</v>
      </c>
      <c r="B115" s="27" t="s">
        <v>241</v>
      </c>
      <c r="C115" s="49" t="s">
        <v>248</v>
      </c>
      <c r="D115" s="134"/>
      <c r="E115" s="135" t="n">
        <v>120</v>
      </c>
      <c r="F11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252.66856</v>
      </c>
      <c r="G115" s="135"/>
      <c r="H115" s="130" t="n">
        <v>2</v>
      </c>
      <c r="I115" s="26" t="n">
        <f aca="false">Tabela43[[#This Row],[Kolumna5]]*20700*0.27778</f>
        <v>11500.092</v>
      </c>
      <c r="J115" s="130"/>
      <c r="K115" s="130"/>
      <c r="L115" s="28" t="n">
        <f aca="false">Tabela43[[#This Row],[Kolumna8]]*0.000843882*40190*0.27778</f>
        <v>0</v>
      </c>
      <c r="M115" s="130"/>
      <c r="N115" s="146" t="n">
        <f aca="false">Tabela43[[#This Row],[Kolumna84]]/2.55</f>
        <v>0</v>
      </c>
      <c r="O115" s="28" t="n">
        <f aca="false">Tabela43[[#This Row],[Kolumna82]]*35.94*0.27778</f>
        <v>0</v>
      </c>
      <c r="P115" s="130"/>
      <c r="Q115" s="130"/>
      <c r="R115" s="130" t="n">
        <v>6</v>
      </c>
      <c r="S115" s="116" t="n">
        <f aca="false">Tabela43[[#This Row],[Kolumna92]]*0.65</f>
        <v>3.9</v>
      </c>
      <c r="T115" s="28" t="n">
        <f aca="false">Tabela43[[#This Row],[Kolumna10]]*15600*0.27778</f>
        <v>16900.1352</v>
      </c>
      <c r="U115" s="130"/>
      <c r="V115" s="130"/>
      <c r="W115" s="130"/>
      <c r="X115" s="130" t="n">
        <v>160</v>
      </c>
      <c r="Y115" s="130" t="n">
        <f aca="false">Tabela43[[#This Row],[Kolumna1223]]*12</f>
        <v>1920</v>
      </c>
      <c r="Z115" s="28" t="n">
        <f aca="false">Tabela43[[#This Row],[Kolumna123]]/0.55</f>
        <v>3490.90909090909</v>
      </c>
      <c r="AA115" s="125"/>
      <c r="AB115" s="125"/>
      <c r="AC115" s="125" t="n">
        <f aca="false">Tabela54[[#This Row],[Kolumna22]]*12</f>
        <v>0</v>
      </c>
      <c r="AD115" s="122" t="n">
        <f aca="false">Tabela54[[#This Row],[Kolumna3]]/4.44</f>
        <v>0</v>
      </c>
      <c r="AE115" s="120" t="n">
        <f aca="false">Tabela54[[#This Row],[Kolumna23]]*Tabela54[[#This Row],[Kolumna63]]</f>
        <v>0</v>
      </c>
      <c r="AF115" s="120"/>
      <c r="AG115" s="122" t="n">
        <f aca="false">Tabela54[[#This Row],[Kolumna12]]*12</f>
        <v>0</v>
      </c>
      <c r="AH115" s="122" t="n">
        <f aca="false">Tabela54[[#This Row],[Kolumna222]]/1.59</f>
        <v>0</v>
      </c>
      <c r="AI115" s="119" t="n">
        <f aca="false">Tabela54[[#This Row],[Kolumna223]]*Tabela54[[#This Row],[Kolumna63]]</f>
        <v>0</v>
      </c>
      <c r="AJ115" s="119" t="n">
        <v>400</v>
      </c>
      <c r="AK115" s="122" t="n">
        <f aca="false">Tabela54[[#This Row],[Kolumna34]]*12</f>
        <v>4800</v>
      </c>
      <c r="AL115" s="122" t="n">
        <f aca="false">Tabela54[[#This Row],[Kolumna32]]/4.2</f>
        <v>1142.85714285714</v>
      </c>
      <c r="AM115" s="119" t="n">
        <f aca="false">Tabela54[[#This Row],[Kolumna322]]*Tabela54[[#This Row],[Kolumna63]]</f>
        <v>228.571428571429</v>
      </c>
      <c r="AN115" s="122"/>
      <c r="AO115" s="122" t="n">
        <f aca="false">Tabela54[[#This Row],[Kolumna5]]*Tabela54[[#This Row],[Kolumna63]]</f>
        <v>0</v>
      </c>
      <c r="AP115" s="53" t="n">
        <v>0.2</v>
      </c>
      <c r="AQ115" s="29"/>
      <c r="AR115" s="29"/>
      <c r="AS115" s="29"/>
      <c r="AT115" s="29"/>
    </row>
    <row r="116" customFormat="false" ht="30" hidden="false" customHeight="true" outlineLevel="0" collapsed="false">
      <c r="A116" s="25" t="n">
        <v>109</v>
      </c>
      <c r="B116" s="27" t="s">
        <v>241</v>
      </c>
      <c r="C116" s="49" t="s">
        <v>248</v>
      </c>
      <c r="D116" s="134"/>
      <c r="E116" s="135" t="n">
        <v>100</v>
      </c>
      <c r="F11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357.069408</v>
      </c>
      <c r="G116" s="135"/>
      <c r="H116" s="130" t="n">
        <v>4</v>
      </c>
      <c r="I116" s="26" t="n">
        <f aca="false">Tabela43[[#This Row],[Kolumna5]]*20700*0.27778</f>
        <v>23000.184</v>
      </c>
      <c r="J116" s="130"/>
      <c r="K116" s="130"/>
      <c r="L116" s="28" t="n">
        <f aca="false">Tabela43[[#This Row],[Kolumna8]]*0.000843882*40190*0.27778</f>
        <v>0</v>
      </c>
      <c r="M116" s="130"/>
      <c r="N116" s="146" t="n">
        <f aca="false">Tabela43[[#This Row],[Kolumna84]]/2.55</f>
        <v>0</v>
      </c>
      <c r="O116" s="28" t="n">
        <f aca="false">Tabela43[[#This Row],[Kolumna82]]*35.94*0.27778</f>
        <v>0</v>
      </c>
      <c r="P116" s="130"/>
      <c r="Q116" s="130"/>
      <c r="R116" s="130" t="n">
        <v>4</v>
      </c>
      <c r="S116" s="116" t="n">
        <f aca="false">Tabela43[[#This Row],[Kolumna92]]*0.65</f>
        <v>2.6</v>
      </c>
      <c r="T116" s="28" t="n">
        <f aca="false">Tabela43[[#This Row],[Kolumna10]]*15600*0.27778</f>
        <v>11266.7568</v>
      </c>
      <c r="U116" s="130"/>
      <c r="V116" s="130"/>
      <c r="W116" s="130"/>
      <c r="X116" s="130" t="n">
        <v>120</v>
      </c>
      <c r="Y116" s="130" t="n">
        <f aca="false">Tabela43[[#This Row],[Kolumna1223]]*12</f>
        <v>1440</v>
      </c>
      <c r="Z116" s="28" t="n">
        <f aca="false">Tabela43[[#This Row],[Kolumna123]]/0.55</f>
        <v>2618.18181818182</v>
      </c>
      <c r="AA116" s="125"/>
      <c r="AB116" s="125"/>
      <c r="AC116" s="125" t="n">
        <f aca="false">Tabela54[[#This Row],[Kolumna22]]*12</f>
        <v>0</v>
      </c>
      <c r="AD116" s="122" t="n">
        <f aca="false">Tabela54[[#This Row],[Kolumna3]]/4.44</f>
        <v>0</v>
      </c>
      <c r="AE116" s="120" t="n">
        <f aca="false">Tabela54[[#This Row],[Kolumna23]]*Tabela54[[#This Row],[Kolumna63]]</f>
        <v>0</v>
      </c>
      <c r="AF116" s="120"/>
      <c r="AG116" s="122" t="n">
        <f aca="false">Tabela54[[#This Row],[Kolumna12]]*12</f>
        <v>0</v>
      </c>
      <c r="AH116" s="122" t="n">
        <f aca="false">Tabela54[[#This Row],[Kolumna222]]/1.59</f>
        <v>0</v>
      </c>
      <c r="AI116" s="119" t="n">
        <f aca="false">Tabela54[[#This Row],[Kolumna223]]*Tabela54[[#This Row],[Kolumna63]]</f>
        <v>0</v>
      </c>
      <c r="AJ116" s="119" t="n">
        <v>200</v>
      </c>
      <c r="AK116" s="122" t="n">
        <f aca="false">Tabela54[[#This Row],[Kolumna34]]*12</f>
        <v>2400</v>
      </c>
      <c r="AL116" s="122" t="n">
        <f aca="false">Tabela54[[#This Row],[Kolumna32]]/4.2</f>
        <v>571.428571428571</v>
      </c>
      <c r="AM116" s="119" t="n">
        <f aca="false">Tabela54[[#This Row],[Kolumna322]]*Tabela54[[#This Row],[Kolumna63]]</f>
        <v>57.1428571428571</v>
      </c>
      <c r="AN116" s="122"/>
      <c r="AO116" s="122" t="n">
        <f aca="false">Tabela54[[#This Row],[Kolumna5]]*Tabela54[[#This Row],[Kolumna63]]</f>
        <v>0</v>
      </c>
      <c r="AP116" s="53" t="n">
        <v>0.1</v>
      </c>
      <c r="AQ116" s="29"/>
      <c r="AR116" s="29"/>
      <c r="AS116" s="29"/>
      <c r="AT116" s="29"/>
    </row>
    <row r="117" customFormat="false" ht="30" hidden="false" customHeight="true" outlineLevel="0" collapsed="false">
      <c r="A117" s="40" t="n">
        <v>110</v>
      </c>
      <c r="B117" s="27" t="s">
        <v>241</v>
      </c>
      <c r="C117" s="49" t="s">
        <v>248</v>
      </c>
      <c r="D117" s="134"/>
      <c r="E117" s="135" t="n">
        <v>150</v>
      </c>
      <c r="F11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322.7802</v>
      </c>
      <c r="G117" s="135"/>
      <c r="H117" s="130" t="n">
        <v>3</v>
      </c>
      <c r="I117" s="26" t="n">
        <f aca="false">Tabela43[[#This Row],[Kolumna5]]*20700*0.27778</f>
        <v>17250.138</v>
      </c>
      <c r="J117" s="130"/>
      <c r="K117" s="130"/>
      <c r="L117" s="28" t="n">
        <f aca="false">Tabela43[[#This Row],[Kolumna8]]*0.000843882*40190*0.27778</f>
        <v>0</v>
      </c>
      <c r="M117" s="130"/>
      <c r="N117" s="146" t="n">
        <f aca="false">Tabela43[[#This Row],[Kolumna84]]/2.55</f>
        <v>0</v>
      </c>
      <c r="O117" s="28" t="n">
        <f aca="false">Tabela43[[#This Row],[Kolumna82]]*35.94*0.27778</f>
        <v>0</v>
      </c>
      <c r="P117" s="130"/>
      <c r="Q117" s="130"/>
      <c r="R117" s="130" t="n">
        <v>10</v>
      </c>
      <c r="S117" s="116" t="n">
        <f aca="false">Tabela43[[#This Row],[Kolumna92]]*0.65</f>
        <v>6.5</v>
      </c>
      <c r="T117" s="28" t="n">
        <f aca="false">Tabela43[[#This Row],[Kolumna10]]*15600*0.27778</f>
        <v>28166.892</v>
      </c>
      <c r="U117" s="130"/>
      <c r="V117" s="130"/>
      <c r="W117" s="130"/>
      <c r="X117" s="130" t="n">
        <v>250</v>
      </c>
      <c r="Y117" s="130" t="n">
        <f aca="false">Tabela43[[#This Row],[Kolumna1223]]*12</f>
        <v>3000</v>
      </c>
      <c r="Z117" s="28" t="n">
        <f aca="false">Tabela43[[#This Row],[Kolumna123]]/0.55</f>
        <v>5454.54545454545</v>
      </c>
      <c r="AA117" s="125"/>
      <c r="AB117" s="125" t="n">
        <v>500</v>
      </c>
      <c r="AC117" s="125" t="n">
        <f aca="false">Tabela54[[#This Row],[Kolumna22]]*12</f>
        <v>6000</v>
      </c>
      <c r="AD117" s="122" t="n">
        <f aca="false">Tabela54[[#This Row],[Kolumna3]]/4.44</f>
        <v>1351.35135135135</v>
      </c>
      <c r="AE117" s="120" t="n">
        <f aca="false">Tabela54[[#This Row],[Kolumna23]]*Tabela54[[#This Row],[Kolumna63]]</f>
        <v>675.675675675676</v>
      </c>
      <c r="AF117" s="120" t="n">
        <v>200</v>
      </c>
      <c r="AG117" s="122" t="n">
        <f aca="false">Tabela54[[#This Row],[Kolumna12]]*12</f>
        <v>2400</v>
      </c>
      <c r="AH117" s="122" t="n">
        <f aca="false">Tabela54[[#This Row],[Kolumna222]]/1.59</f>
        <v>1509.43396226415</v>
      </c>
      <c r="AI117" s="119" t="n">
        <f aca="false">Tabela54[[#This Row],[Kolumna223]]*Tabela54[[#This Row],[Kolumna63]]</f>
        <v>754.716981132076</v>
      </c>
      <c r="AJ117" s="119"/>
      <c r="AK117" s="122" t="n">
        <f aca="false">Tabela54[[#This Row],[Kolumna34]]*12</f>
        <v>0</v>
      </c>
      <c r="AL117" s="122" t="n">
        <f aca="false">Tabela54[[#This Row],[Kolumna32]]/4.2</f>
        <v>0</v>
      </c>
      <c r="AM117" s="119" t="n">
        <f aca="false">Tabela54[[#This Row],[Kolumna322]]*Tabela54[[#This Row],[Kolumna63]]</f>
        <v>0</v>
      </c>
      <c r="AN117" s="122"/>
      <c r="AO117" s="122" t="n">
        <f aca="false">Tabela54[[#This Row],[Kolumna5]]*Tabela54[[#This Row],[Kolumna63]]</f>
        <v>0</v>
      </c>
      <c r="AP117" s="53" t="n">
        <v>0.5</v>
      </c>
      <c r="AQ117" s="29"/>
      <c r="AR117" s="29"/>
      <c r="AS117" s="29"/>
      <c r="AT117" s="29"/>
    </row>
    <row r="118" customFormat="false" ht="30" hidden="false" customHeight="true" outlineLevel="0" collapsed="false">
      <c r="A118" s="25" t="n">
        <v>111</v>
      </c>
      <c r="B118" s="27" t="s">
        <v>241</v>
      </c>
      <c r="C118" s="49" t="s">
        <v>248</v>
      </c>
      <c r="D118" s="134"/>
      <c r="E118" s="135" t="n">
        <v>100</v>
      </c>
      <c r="F11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384.0363</v>
      </c>
      <c r="G118" s="135"/>
      <c r="H118" s="128" t="n">
        <v>4</v>
      </c>
      <c r="I118" s="26" t="n">
        <f aca="false">Tabela43[[#This Row],[Kolumna5]]*20700*0.27778</f>
        <v>23000.184</v>
      </c>
      <c r="J118" s="130"/>
      <c r="K118" s="130"/>
      <c r="L118" s="28" t="n">
        <f aca="false">Tabela43[[#This Row],[Kolumna8]]*0.000843882*40190*0.27778</f>
        <v>0</v>
      </c>
      <c r="M118" s="130"/>
      <c r="N118" s="146" t="n">
        <f aca="false">Tabela43[[#This Row],[Kolumna84]]/2.55</f>
        <v>0</v>
      </c>
      <c r="O118" s="28" t="n">
        <f aca="false">Tabela43[[#This Row],[Kolumna82]]*35.94*0.27778</f>
        <v>0</v>
      </c>
      <c r="P118" s="130"/>
      <c r="Q118" s="130"/>
      <c r="R118" s="130" t="n">
        <v>5</v>
      </c>
      <c r="S118" s="116" t="n">
        <f aca="false">Tabela43[[#This Row],[Kolumna92]]*0.65</f>
        <v>3.25</v>
      </c>
      <c r="T118" s="28" t="n">
        <f aca="false">Tabela43[[#This Row],[Kolumna10]]*15600*0.27778</f>
        <v>14083.446</v>
      </c>
      <c r="U118" s="130"/>
      <c r="V118" s="130"/>
      <c r="W118" s="130"/>
      <c r="X118" s="130" t="n">
        <v>110</v>
      </c>
      <c r="Y118" s="130" t="n">
        <f aca="false">Tabela43[[#This Row],[Kolumna1223]]*12</f>
        <v>1320</v>
      </c>
      <c r="Z118" s="28" t="n">
        <f aca="false">Tabela43[[#This Row],[Kolumna123]]/0.55</f>
        <v>2400</v>
      </c>
      <c r="AA118" s="125"/>
      <c r="AB118" s="125"/>
      <c r="AC118" s="125" t="n">
        <f aca="false">Tabela54[[#This Row],[Kolumna22]]*12</f>
        <v>0</v>
      </c>
      <c r="AD118" s="122" t="n">
        <f aca="false">Tabela54[[#This Row],[Kolumna3]]/4.44</f>
        <v>0</v>
      </c>
      <c r="AE118" s="120" t="n">
        <f aca="false">Tabela54[[#This Row],[Kolumna23]]*Tabela54[[#This Row],[Kolumna63]]</f>
        <v>0</v>
      </c>
      <c r="AF118" s="120"/>
      <c r="AG118" s="122" t="n">
        <f aca="false">Tabela54[[#This Row],[Kolumna12]]*12</f>
        <v>0</v>
      </c>
      <c r="AH118" s="122" t="n">
        <f aca="false">Tabela54[[#This Row],[Kolumna222]]/1.59</f>
        <v>0</v>
      </c>
      <c r="AI118" s="119" t="n">
        <f aca="false">Tabela54[[#This Row],[Kolumna223]]*Tabela54[[#This Row],[Kolumna63]]</f>
        <v>0</v>
      </c>
      <c r="AJ118" s="119" t="n">
        <v>200</v>
      </c>
      <c r="AK118" s="122" t="n">
        <f aca="false">Tabela54[[#This Row],[Kolumna34]]*12</f>
        <v>2400</v>
      </c>
      <c r="AL118" s="122" t="n">
        <f aca="false">Tabela54[[#This Row],[Kolumna32]]/4.2</f>
        <v>571.428571428571</v>
      </c>
      <c r="AM118" s="119" t="n">
        <f aca="false">Tabela54[[#This Row],[Kolumna322]]*Tabela54[[#This Row],[Kolumna63]]</f>
        <v>114.285714285714</v>
      </c>
      <c r="AN118" s="122"/>
      <c r="AO118" s="122" t="n">
        <f aca="false">Tabela54[[#This Row],[Kolumna5]]*Tabela54[[#This Row],[Kolumna63]]</f>
        <v>0</v>
      </c>
      <c r="AP118" s="53" t="n">
        <v>0.2</v>
      </c>
      <c r="AQ118" s="29"/>
      <c r="AR118" s="29"/>
      <c r="AS118" s="29"/>
      <c r="AT118" s="29"/>
    </row>
    <row r="119" customFormat="false" ht="30" hidden="false" customHeight="true" outlineLevel="0" collapsed="false">
      <c r="A119" s="25" t="n">
        <v>112</v>
      </c>
      <c r="B119" s="27" t="s">
        <v>241</v>
      </c>
      <c r="C119" s="49" t="s">
        <v>248</v>
      </c>
      <c r="D119" s="134"/>
      <c r="E119" s="135" t="n">
        <v>120</v>
      </c>
      <c r="F11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345.5582</v>
      </c>
      <c r="G119" s="135"/>
      <c r="H119" s="130" t="n">
        <v>2</v>
      </c>
      <c r="I119" s="26" t="n">
        <f aca="false">Tabela43[[#This Row],[Kolumna5]]*20700*0.27778</f>
        <v>11500.092</v>
      </c>
      <c r="J119" s="130"/>
      <c r="K119" s="130"/>
      <c r="L119" s="28" t="n">
        <f aca="false">Tabela43[[#This Row],[Kolumna8]]*0.000843882*40190*0.27778</f>
        <v>0</v>
      </c>
      <c r="M119" s="130"/>
      <c r="N119" s="146" t="n">
        <f aca="false">Tabela43[[#This Row],[Kolumna84]]/2.55</f>
        <v>0</v>
      </c>
      <c r="O119" s="28" t="n">
        <f aca="false">Tabela43[[#This Row],[Kolumna82]]*35.94*0.27778</f>
        <v>0</v>
      </c>
      <c r="P119" s="130"/>
      <c r="Q119" s="130"/>
      <c r="R119" s="130" t="n">
        <v>10</v>
      </c>
      <c r="S119" s="116" t="n">
        <f aca="false">Tabela43[[#This Row],[Kolumna92]]*0.65</f>
        <v>6.5</v>
      </c>
      <c r="T119" s="28" t="n">
        <f aca="false">Tabela43[[#This Row],[Kolumna10]]*15600*0.27778</f>
        <v>28166.892</v>
      </c>
      <c r="U119" s="130"/>
      <c r="V119" s="130"/>
      <c r="W119" s="130"/>
      <c r="X119" s="130" t="n">
        <v>150</v>
      </c>
      <c r="Y119" s="130" t="n">
        <f aca="false">Tabela43[[#This Row],[Kolumna1223]]*12</f>
        <v>1800</v>
      </c>
      <c r="Z119" s="28" t="n">
        <f aca="false">Tabela43[[#This Row],[Kolumna123]]/0.55</f>
        <v>3272.72727272727</v>
      </c>
      <c r="AA119" s="125"/>
      <c r="AB119" s="125" t="n">
        <v>200</v>
      </c>
      <c r="AC119" s="125" t="n">
        <f aca="false">Tabela54[[#This Row],[Kolumna22]]*12</f>
        <v>2400</v>
      </c>
      <c r="AD119" s="122" t="n">
        <f aca="false">Tabela54[[#This Row],[Kolumna3]]/4.44</f>
        <v>540.540540540541</v>
      </c>
      <c r="AE119" s="120" t="n">
        <f aca="false">Tabela54[[#This Row],[Kolumna23]]*Tabela54[[#This Row],[Kolumna63]]</f>
        <v>54.0540540540541</v>
      </c>
      <c r="AF119" s="120"/>
      <c r="AG119" s="122" t="n">
        <f aca="false">Tabela54[[#This Row],[Kolumna12]]*12</f>
        <v>0</v>
      </c>
      <c r="AH119" s="122" t="n">
        <f aca="false">Tabela54[[#This Row],[Kolumna222]]/1.59</f>
        <v>0</v>
      </c>
      <c r="AI119" s="119" t="n">
        <f aca="false">Tabela54[[#This Row],[Kolumna223]]*Tabela54[[#This Row],[Kolumna63]]</f>
        <v>0</v>
      </c>
      <c r="AJ119" s="119"/>
      <c r="AK119" s="122" t="n">
        <f aca="false">Tabela54[[#This Row],[Kolumna34]]*12</f>
        <v>0</v>
      </c>
      <c r="AL119" s="122" t="n">
        <f aca="false">Tabela54[[#This Row],[Kolumna32]]/4.2</f>
        <v>0</v>
      </c>
      <c r="AM119" s="119" t="n">
        <f aca="false">Tabela54[[#This Row],[Kolumna322]]*Tabela54[[#This Row],[Kolumna63]]</f>
        <v>0</v>
      </c>
      <c r="AN119" s="122"/>
      <c r="AO119" s="122" t="n">
        <f aca="false">Tabela54[[#This Row],[Kolumna5]]*Tabela54[[#This Row],[Kolumna63]]</f>
        <v>0</v>
      </c>
      <c r="AP119" s="53" t="n">
        <v>0.1</v>
      </c>
      <c r="AQ119" s="29"/>
      <c r="AR119" s="29"/>
      <c r="AS119" s="29"/>
      <c r="AT119" s="29"/>
    </row>
    <row r="120" customFormat="false" ht="30" hidden="false" customHeight="true" outlineLevel="0" collapsed="false">
      <c r="A120" s="40" t="n">
        <v>113</v>
      </c>
      <c r="B120" s="27" t="s">
        <v>241</v>
      </c>
      <c r="C120" s="49" t="s">
        <v>248</v>
      </c>
      <c r="D120" s="134"/>
      <c r="E120" s="135" t="n">
        <v>80</v>
      </c>
      <c r="F12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376.08615</v>
      </c>
      <c r="G120" s="135"/>
      <c r="H120" s="130"/>
      <c r="I120" s="26" t="n">
        <f aca="false">Tabela43[[#This Row],[Kolumna5]]*20700*0.27778</f>
        <v>0</v>
      </c>
      <c r="J120" s="130"/>
      <c r="K120" s="130"/>
      <c r="L120" s="28" t="n">
        <f aca="false">Tabela43[[#This Row],[Kolumna8]]*0.000843882*40190*0.27778</f>
        <v>0</v>
      </c>
      <c r="M120" s="130"/>
      <c r="N120" s="146" t="n">
        <f aca="false">Tabela43[[#This Row],[Kolumna84]]/2.55</f>
        <v>0</v>
      </c>
      <c r="O120" s="28" t="n">
        <f aca="false">Tabela43[[#This Row],[Kolumna82]]*35.94*0.27778</f>
        <v>0</v>
      </c>
      <c r="P120" s="130"/>
      <c r="Q120" s="130"/>
      <c r="R120" s="130" t="n">
        <v>10</v>
      </c>
      <c r="S120" s="116" t="n">
        <f aca="false">Tabela43[[#This Row],[Kolumna92]]*0.65</f>
        <v>6.5</v>
      </c>
      <c r="T120" s="28" t="n">
        <f aca="false">Tabela43[[#This Row],[Kolumna10]]*15600*0.27778</f>
        <v>28166.892</v>
      </c>
      <c r="U120" s="130"/>
      <c r="V120" s="130"/>
      <c r="W120" s="130"/>
      <c r="X120" s="130" t="n">
        <v>160</v>
      </c>
      <c r="Y120" s="130" t="n">
        <f aca="false">Tabela43[[#This Row],[Kolumna1223]]*12</f>
        <v>1920</v>
      </c>
      <c r="Z120" s="28" t="n">
        <f aca="false">Tabela43[[#This Row],[Kolumna123]]/0.55</f>
        <v>3490.90909090909</v>
      </c>
      <c r="AA120" s="125"/>
      <c r="AB120" s="125" t="n">
        <v>300</v>
      </c>
      <c r="AC120" s="125" t="n">
        <f aca="false">Tabela54[[#This Row],[Kolumna22]]*12</f>
        <v>3600</v>
      </c>
      <c r="AD120" s="122" t="n">
        <f aca="false">Tabela54[[#This Row],[Kolumna3]]/4.44</f>
        <v>810.810810810811</v>
      </c>
      <c r="AE120" s="120" t="n">
        <f aca="false">Tabela54[[#This Row],[Kolumna23]]*Tabela54[[#This Row],[Kolumna63]]</f>
        <v>162.162162162162</v>
      </c>
      <c r="AF120" s="120"/>
      <c r="AG120" s="122" t="n">
        <f aca="false">Tabela54[[#This Row],[Kolumna12]]*12</f>
        <v>0</v>
      </c>
      <c r="AH120" s="122" t="n">
        <f aca="false">Tabela54[[#This Row],[Kolumna222]]/1.59</f>
        <v>0</v>
      </c>
      <c r="AI120" s="119" t="n">
        <f aca="false">Tabela54[[#This Row],[Kolumna223]]*Tabela54[[#This Row],[Kolumna63]]</f>
        <v>0</v>
      </c>
      <c r="AJ120" s="119"/>
      <c r="AK120" s="122" t="n">
        <f aca="false">Tabela54[[#This Row],[Kolumna34]]*12</f>
        <v>0</v>
      </c>
      <c r="AL120" s="122" t="n">
        <f aca="false">Tabela54[[#This Row],[Kolumna32]]/4.2</f>
        <v>0</v>
      </c>
      <c r="AM120" s="119" t="n">
        <f aca="false">Tabela54[[#This Row],[Kolumna322]]*Tabela54[[#This Row],[Kolumna63]]</f>
        <v>0</v>
      </c>
      <c r="AN120" s="122"/>
      <c r="AO120" s="122" t="n">
        <f aca="false">Tabela54[[#This Row],[Kolumna5]]*Tabela54[[#This Row],[Kolumna63]]</f>
        <v>0</v>
      </c>
      <c r="AP120" s="53" t="n">
        <v>0.2</v>
      </c>
      <c r="AQ120" s="29"/>
      <c r="AR120" s="29"/>
      <c r="AS120" s="29"/>
      <c r="AT120" s="29"/>
    </row>
    <row r="121" customFormat="false" ht="30" hidden="false" customHeight="true" outlineLevel="0" collapsed="false">
      <c r="A121" s="25" t="n">
        <v>114</v>
      </c>
      <c r="B121" s="27" t="s">
        <v>241</v>
      </c>
      <c r="C121" s="49" t="s">
        <v>248</v>
      </c>
      <c r="D121" s="134"/>
      <c r="E121" s="135" t="n">
        <v>100</v>
      </c>
      <c r="F12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411.06984</v>
      </c>
      <c r="G121" s="135"/>
      <c r="H121" s="130" t="n">
        <v>2</v>
      </c>
      <c r="I121" s="26" t="n">
        <f aca="false">Tabela43[[#This Row],[Kolumna5]]*20700*0.27778</f>
        <v>11500.092</v>
      </c>
      <c r="J121" s="130"/>
      <c r="K121" s="130"/>
      <c r="L121" s="28" t="n">
        <f aca="false">Tabela43[[#This Row],[Kolumna8]]*0.000843882*40190*0.27778</f>
        <v>0</v>
      </c>
      <c r="M121" s="130"/>
      <c r="N121" s="146" t="n">
        <f aca="false">Tabela43[[#This Row],[Kolumna84]]/2.55</f>
        <v>0</v>
      </c>
      <c r="O121" s="28" t="n">
        <f aca="false">Tabela43[[#This Row],[Kolumna82]]*35.94*0.27778</f>
        <v>0</v>
      </c>
      <c r="P121" s="130"/>
      <c r="Q121" s="130"/>
      <c r="R121" s="130" t="n">
        <v>10</v>
      </c>
      <c r="S121" s="116" t="n">
        <f aca="false">Tabela43[[#This Row],[Kolumna92]]*0.65</f>
        <v>6.5</v>
      </c>
      <c r="T121" s="28" t="n">
        <f aca="false">Tabela43[[#This Row],[Kolumna10]]*15600*0.27778</f>
        <v>28166.892</v>
      </c>
      <c r="U121" s="130"/>
      <c r="V121" s="130"/>
      <c r="W121" s="130"/>
      <c r="X121" s="130" t="n">
        <v>120</v>
      </c>
      <c r="Y121" s="130" t="n">
        <f aca="false">Tabela43[[#This Row],[Kolumna1223]]*12</f>
        <v>1440</v>
      </c>
      <c r="Z121" s="28" t="n">
        <f aca="false">Tabela43[[#This Row],[Kolumna123]]/0.55</f>
        <v>2618.18181818182</v>
      </c>
      <c r="AA121" s="125"/>
      <c r="AB121" s="125" t="n">
        <v>200</v>
      </c>
      <c r="AC121" s="125" t="n">
        <f aca="false">Tabela54[[#This Row],[Kolumna22]]*12</f>
        <v>2400</v>
      </c>
      <c r="AD121" s="122" t="n">
        <f aca="false">Tabela54[[#This Row],[Kolumna3]]/4.44</f>
        <v>540.540540540541</v>
      </c>
      <c r="AE121" s="120" t="n">
        <f aca="false">Tabela54[[#This Row],[Kolumna23]]*Tabela54[[#This Row],[Kolumna63]]</f>
        <v>108.108108108108</v>
      </c>
      <c r="AF121" s="120" t="n">
        <v>100</v>
      </c>
      <c r="AG121" s="122" t="n">
        <f aca="false">Tabela54[[#This Row],[Kolumna12]]*12</f>
        <v>1200</v>
      </c>
      <c r="AH121" s="122" t="n">
        <f aca="false">Tabela54[[#This Row],[Kolumna222]]/1.59</f>
        <v>754.716981132076</v>
      </c>
      <c r="AI121" s="119" t="n">
        <f aca="false">Tabela54[[#This Row],[Kolumna223]]*Tabela54[[#This Row],[Kolumna63]]</f>
        <v>150.943396226415</v>
      </c>
      <c r="AJ121" s="119"/>
      <c r="AK121" s="122" t="n">
        <f aca="false">Tabela54[[#This Row],[Kolumna34]]*12</f>
        <v>0</v>
      </c>
      <c r="AL121" s="122" t="n">
        <f aca="false">Tabela54[[#This Row],[Kolumna32]]/4.2</f>
        <v>0</v>
      </c>
      <c r="AM121" s="119" t="n">
        <f aca="false">Tabela54[[#This Row],[Kolumna322]]*Tabela54[[#This Row],[Kolumna63]]</f>
        <v>0</v>
      </c>
      <c r="AN121" s="122"/>
      <c r="AO121" s="122" t="n">
        <f aca="false">Tabela54[[#This Row],[Kolumna5]]*Tabela54[[#This Row],[Kolumna63]]</f>
        <v>0</v>
      </c>
      <c r="AP121" s="53" t="n">
        <v>0.2</v>
      </c>
      <c r="AQ121" s="29"/>
      <c r="AR121" s="29"/>
      <c r="AS121" s="29"/>
      <c r="AT121" s="29"/>
    </row>
    <row r="122" customFormat="false" ht="30" hidden="false" customHeight="true" outlineLevel="0" collapsed="false">
      <c r="A122" s="25" t="n">
        <v>115</v>
      </c>
      <c r="B122" s="27" t="s">
        <v>241</v>
      </c>
      <c r="C122" s="49" t="s">
        <v>248</v>
      </c>
      <c r="D122" s="134"/>
      <c r="E122" s="135" t="n">
        <v>70</v>
      </c>
      <c r="F12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227.060434285714</v>
      </c>
      <c r="G122" s="135"/>
      <c r="H122" s="130"/>
      <c r="I122" s="26" t="n">
        <f aca="false">Tabela43[[#This Row],[Kolumna5]]*20700*0.27778</f>
        <v>0</v>
      </c>
      <c r="J122" s="130"/>
      <c r="K122" s="130"/>
      <c r="L122" s="28" t="n">
        <f aca="false">Tabela43[[#This Row],[Kolumna8]]*0.000843882*40190*0.27778</f>
        <v>0</v>
      </c>
      <c r="M122" s="130" t="n">
        <f aca="false">300*12</f>
        <v>3600</v>
      </c>
      <c r="N122" s="146" t="n">
        <f aca="false">Tabela43[[#This Row],[Kolumna84]]/2.55</f>
        <v>1411.76470588235</v>
      </c>
      <c r="O122" s="28" t="n">
        <f aca="false">Tabela43[[#This Row],[Kolumna82]]*35.94*0.27778</f>
        <v>14094.2304</v>
      </c>
      <c r="P122" s="130"/>
      <c r="Q122" s="130"/>
      <c r="R122" s="130"/>
      <c r="S122" s="116" t="n">
        <f aca="false">Tabela43[[#This Row],[Kolumna92]]*0.65</f>
        <v>0</v>
      </c>
      <c r="T122" s="28" t="n">
        <f aca="false">Tabela43[[#This Row],[Kolumna10]]*15600*0.27778</f>
        <v>0</v>
      </c>
      <c r="U122" s="130"/>
      <c r="V122" s="130"/>
      <c r="W122" s="130"/>
      <c r="X122" s="130" t="n">
        <v>150</v>
      </c>
      <c r="Y122" s="130" t="n">
        <f aca="false">Tabela43[[#This Row],[Kolumna1223]]*12</f>
        <v>1800</v>
      </c>
      <c r="Z122" s="28" t="n">
        <f aca="false">Tabela43[[#This Row],[Kolumna123]]/0.55</f>
        <v>3272.72727272727</v>
      </c>
      <c r="AA122" s="125"/>
      <c r="AB122" s="125" t="n">
        <v>300</v>
      </c>
      <c r="AC122" s="125" t="n">
        <f aca="false">Tabela54[[#This Row],[Kolumna22]]*12</f>
        <v>3600</v>
      </c>
      <c r="AD122" s="122" t="n">
        <f aca="false">Tabela54[[#This Row],[Kolumna3]]/4.44</f>
        <v>810.810810810811</v>
      </c>
      <c r="AE122" s="120" t="n">
        <f aca="false">Tabela54[[#This Row],[Kolumna23]]*Tabela54[[#This Row],[Kolumna63]]</f>
        <v>324.324324324324</v>
      </c>
      <c r="AF122" s="120" t="n">
        <v>150</v>
      </c>
      <c r="AG122" s="122" t="n">
        <f aca="false">Tabela54[[#This Row],[Kolumna12]]*12</f>
        <v>1800</v>
      </c>
      <c r="AH122" s="122" t="n">
        <f aca="false">Tabela54[[#This Row],[Kolumna222]]/1.59</f>
        <v>1132.07547169811</v>
      </c>
      <c r="AI122" s="119" t="n">
        <f aca="false">Tabela54[[#This Row],[Kolumna223]]*Tabela54[[#This Row],[Kolumna63]]</f>
        <v>452.830188679245</v>
      </c>
      <c r="AJ122" s="119"/>
      <c r="AK122" s="122" t="n">
        <f aca="false">Tabela54[[#This Row],[Kolumna34]]*12</f>
        <v>0</v>
      </c>
      <c r="AL122" s="122" t="n">
        <f aca="false">Tabela54[[#This Row],[Kolumna32]]/4.2</f>
        <v>0</v>
      </c>
      <c r="AM122" s="119" t="n">
        <f aca="false">Tabela54[[#This Row],[Kolumna322]]*Tabela54[[#This Row],[Kolumna63]]</f>
        <v>0</v>
      </c>
      <c r="AN122" s="122"/>
      <c r="AO122" s="122" t="n">
        <f aca="false">Tabela54[[#This Row],[Kolumna5]]*Tabela54[[#This Row],[Kolumna63]]</f>
        <v>0</v>
      </c>
      <c r="AP122" s="53" t="n">
        <v>0.4</v>
      </c>
      <c r="AQ122" s="29"/>
      <c r="AR122" s="29"/>
      <c r="AS122" s="29"/>
      <c r="AT122" s="29"/>
    </row>
    <row r="123" customFormat="false" ht="30" hidden="false" customHeight="true" outlineLevel="0" collapsed="false">
      <c r="A123" s="40" t="n">
        <v>116</v>
      </c>
      <c r="B123" s="27" t="s">
        <v>241</v>
      </c>
      <c r="C123" s="49" t="s">
        <v>248</v>
      </c>
      <c r="D123" s="134"/>
      <c r="E123" s="135" t="n">
        <v>160</v>
      </c>
      <c r="F12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223.960035</v>
      </c>
      <c r="G123" s="135"/>
      <c r="H123" s="130" t="n">
        <v>2</v>
      </c>
      <c r="I123" s="26" t="n">
        <f aca="false">Tabela43[[#This Row],[Kolumna5]]*20700*0.27778</f>
        <v>11500.092</v>
      </c>
      <c r="J123" s="130"/>
      <c r="K123" s="130"/>
      <c r="L123" s="28" t="n">
        <f aca="false">Tabela43[[#This Row],[Kolumna8]]*0.000843882*40190*0.27778</f>
        <v>0</v>
      </c>
      <c r="M123" s="130"/>
      <c r="N123" s="146" t="n">
        <f aca="false">Tabela43[[#This Row],[Kolumna84]]/2.55</f>
        <v>0</v>
      </c>
      <c r="O123" s="28" t="n">
        <f aca="false">Tabela43[[#This Row],[Kolumna82]]*35.94*0.27778</f>
        <v>0</v>
      </c>
      <c r="P123" s="130"/>
      <c r="Q123" s="130"/>
      <c r="R123" s="130" t="n">
        <v>8</v>
      </c>
      <c r="S123" s="116" t="n">
        <f aca="false">Tabela43[[#This Row],[Kolumna92]]*0.65</f>
        <v>5.2</v>
      </c>
      <c r="T123" s="28" t="n">
        <f aca="false">Tabela43[[#This Row],[Kolumna10]]*15600*0.27778</f>
        <v>22533.5136</v>
      </c>
      <c r="U123" s="130"/>
      <c r="V123" s="130"/>
      <c r="W123" s="130"/>
      <c r="X123" s="130" t="n">
        <v>150</v>
      </c>
      <c r="Y123" s="130" t="n">
        <f aca="false">Tabela43[[#This Row],[Kolumna1223]]*12</f>
        <v>1800</v>
      </c>
      <c r="Z123" s="28" t="n">
        <f aca="false">Tabela43[[#This Row],[Kolumna123]]/0.55</f>
        <v>3272.72727272727</v>
      </c>
      <c r="AA123" s="125"/>
      <c r="AB123" s="125" t="n">
        <v>200</v>
      </c>
      <c r="AC123" s="125" t="n">
        <f aca="false">Tabela54[[#This Row],[Kolumna22]]*12</f>
        <v>2400</v>
      </c>
      <c r="AD123" s="122" t="n">
        <f aca="false">Tabela54[[#This Row],[Kolumna3]]/4.44</f>
        <v>540.540540540541</v>
      </c>
      <c r="AE123" s="120" t="n">
        <f aca="false">Tabela54[[#This Row],[Kolumna23]]*Tabela54[[#This Row],[Kolumna63]]</f>
        <v>54.0540540540541</v>
      </c>
      <c r="AF123" s="120"/>
      <c r="AG123" s="122" t="n">
        <f aca="false">Tabela54[[#This Row],[Kolumna12]]*12</f>
        <v>0</v>
      </c>
      <c r="AH123" s="122" t="n">
        <f aca="false">Tabela54[[#This Row],[Kolumna222]]/1.59</f>
        <v>0</v>
      </c>
      <c r="AI123" s="119" t="n">
        <f aca="false">Tabela54[[#This Row],[Kolumna223]]*Tabela54[[#This Row],[Kolumna63]]</f>
        <v>0</v>
      </c>
      <c r="AJ123" s="119"/>
      <c r="AK123" s="122" t="n">
        <f aca="false">Tabela54[[#This Row],[Kolumna34]]*12</f>
        <v>0</v>
      </c>
      <c r="AL123" s="122" t="n">
        <f aca="false">Tabela54[[#This Row],[Kolumna32]]/4.2</f>
        <v>0</v>
      </c>
      <c r="AM123" s="119" t="n">
        <f aca="false">Tabela54[[#This Row],[Kolumna322]]*Tabela54[[#This Row],[Kolumna63]]</f>
        <v>0</v>
      </c>
      <c r="AN123" s="122"/>
      <c r="AO123" s="122" t="n">
        <f aca="false">Tabela54[[#This Row],[Kolumna5]]*Tabela54[[#This Row],[Kolumna63]]</f>
        <v>0</v>
      </c>
      <c r="AP123" s="53" t="n">
        <v>0.1</v>
      </c>
      <c r="AQ123" s="29"/>
      <c r="AR123" s="29"/>
      <c r="AS123" s="29"/>
      <c r="AT123" s="29"/>
    </row>
    <row r="124" customFormat="false" ht="30" hidden="false" customHeight="true" outlineLevel="0" collapsed="false">
      <c r="A124" s="25" t="n">
        <v>117</v>
      </c>
      <c r="B124" s="27" t="s">
        <v>241</v>
      </c>
      <c r="C124" s="49" t="s">
        <v>248</v>
      </c>
      <c r="D124" s="134"/>
      <c r="E124" s="135" t="n">
        <v>120</v>
      </c>
      <c r="F12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213.7532</v>
      </c>
      <c r="G124" s="135"/>
      <c r="H124" s="130"/>
      <c r="I124" s="26" t="n">
        <f aca="false">Tabela43[[#This Row],[Kolumna5]]*20700*0.27778</f>
        <v>0</v>
      </c>
      <c r="J124" s="130"/>
      <c r="K124" s="130"/>
      <c r="L124" s="28" t="n">
        <f aca="false">Tabela43[[#This Row],[Kolumna8]]*0.000843882*40190*0.27778</f>
        <v>0</v>
      </c>
      <c r="M124" s="130" t="n">
        <f aca="false">500*12</f>
        <v>6000</v>
      </c>
      <c r="N124" s="146" t="n">
        <f aca="false">Tabela43[[#This Row],[Kolumna84]]/2.55</f>
        <v>2352.94117647059</v>
      </c>
      <c r="O124" s="28" t="n">
        <f aca="false">Tabela43[[#This Row],[Kolumna82]]*35.94*0.27778</f>
        <v>23490.384</v>
      </c>
      <c r="P124" s="130"/>
      <c r="Q124" s="130"/>
      <c r="R124" s="130"/>
      <c r="S124" s="116" t="n">
        <f aca="false">Tabela43[[#This Row],[Kolumna92]]*0.65</f>
        <v>0</v>
      </c>
      <c r="T124" s="28" t="n">
        <f aca="false">Tabela43[[#This Row],[Kolumna10]]*15600*0.27778</f>
        <v>0</v>
      </c>
      <c r="U124" s="130"/>
      <c r="V124" s="130"/>
      <c r="W124" s="130"/>
      <c r="X124" s="130" t="n">
        <v>180</v>
      </c>
      <c r="Y124" s="130" t="n">
        <f aca="false">Tabela43[[#This Row],[Kolumna1223]]*12</f>
        <v>2160</v>
      </c>
      <c r="Z124" s="28" t="n">
        <f aca="false">Tabela43[[#This Row],[Kolumna123]]/0.55</f>
        <v>3927.27272727273</v>
      </c>
      <c r="AA124" s="125"/>
      <c r="AB124" s="125" t="n">
        <v>400</v>
      </c>
      <c r="AC124" s="125" t="n">
        <f aca="false">Tabela54[[#This Row],[Kolumna22]]*12</f>
        <v>4800</v>
      </c>
      <c r="AD124" s="122" t="n">
        <f aca="false">Tabela54[[#This Row],[Kolumna3]]/4.44</f>
        <v>1081.08108108108</v>
      </c>
      <c r="AE124" s="120" t="n">
        <f aca="false">Tabela54[[#This Row],[Kolumna23]]*Tabela54[[#This Row],[Kolumna63]]</f>
        <v>324.324324324324</v>
      </c>
      <c r="AF124" s="120"/>
      <c r="AG124" s="122" t="n">
        <f aca="false">Tabela54[[#This Row],[Kolumna12]]*12</f>
        <v>0</v>
      </c>
      <c r="AH124" s="122" t="n">
        <f aca="false">Tabela54[[#This Row],[Kolumna222]]/1.59</f>
        <v>0</v>
      </c>
      <c r="AI124" s="119" t="n">
        <f aca="false">Tabela54[[#This Row],[Kolumna223]]*Tabela54[[#This Row],[Kolumna63]]</f>
        <v>0</v>
      </c>
      <c r="AJ124" s="119"/>
      <c r="AK124" s="122" t="n">
        <f aca="false">Tabela54[[#This Row],[Kolumna34]]*12</f>
        <v>0</v>
      </c>
      <c r="AL124" s="122" t="n">
        <f aca="false">Tabela54[[#This Row],[Kolumna32]]/4.2</f>
        <v>0</v>
      </c>
      <c r="AM124" s="119" t="n">
        <f aca="false">Tabela54[[#This Row],[Kolumna322]]*Tabela54[[#This Row],[Kolumna63]]</f>
        <v>0</v>
      </c>
      <c r="AN124" s="122"/>
      <c r="AO124" s="122" t="n">
        <f aca="false">Tabela54[[#This Row],[Kolumna5]]*Tabela54[[#This Row],[Kolumna63]]</f>
        <v>0</v>
      </c>
      <c r="AP124" s="53" t="n">
        <v>0.3</v>
      </c>
      <c r="AQ124" s="29"/>
      <c r="AR124" s="29"/>
      <c r="AS124" s="29"/>
      <c r="AT124" s="29"/>
    </row>
    <row r="125" customFormat="false" ht="30" hidden="false" customHeight="true" outlineLevel="0" collapsed="false">
      <c r="A125" s="25" t="n">
        <v>118</v>
      </c>
      <c r="B125" s="27" t="s">
        <v>241</v>
      </c>
      <c r="C125" s="49" t="s">
        <v>248</v>
      </c>
      <c r="D125" s="134"/>
      <c r="E125" s="135" t="n">
        <v>120</v>
      </c>
      <c r="F12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304.58561</v>
      </c>
      <c r="G125" s="135"/>
      <c r="H125" s="130" t="n">
        <v>3</v>
      </c>
      <c r="I125" s="26" t="n">
        <f aca="false">Tabela43[[#This Row],[Kolumna5]]*20700*0.27778</f>
        <v>17250.138</v>
      </c>
      <c r="J125" s="130"/>
      <c r="K125" s="130"/>
      <c r="L125" s="28" t="n">
        <f aca="false">Tabela43[[#This Row],[Kolumna8]]*0.000843882*40190*0.27778</f>
        <v>0</v>
      </c>
      <c r="M125" s="130"/>
      <c r="N125" s="146" t="n">
        <f aca="false">Tabela43[[#This Row],[Kolumna84]]/2.55</f>
        <v>0</v>
      </c>
      <c r="O125" s="28" t="n">
        <f aca="false">Tabela43[[#This Row],[Kolumna82]]*35.94*0.27778</f>
        <v>0</v>
      </c>
      <c r="P125" s="130"/>
      <c r="Q125" s="130"/>
      <c r="R125" s="130" t="n">
        <v>6</v>
      </c>
      <c r="S125" s="116" t="n">
        <f aca="false">Tabela43[[#This Row],[Kolumna92]]*0.65</f>
        <v>3.9</v>
      </c>
      <c r="T125" s="28" t="n">
        <f aca="false">Tabela43[[#This Row],[Kolumna10]]*15600*0.27778</f>
        <v>16900.1352</v>
      </c>
      <c r="U125" s="130"/>
      <c r="V125" s="130"/>
      <c r="W125" s="130"/>
      <c r="X125" s="130" t="n">
        <v>200</v>
      </c>
      <c r="Y125" s="130" t="n">
        <f aca="false">Tabela43[[#This Row],[Kolumna1223]]*12</f>
        <v>2400</v>
      </c>
      <c r="Z125" s="28" t="n">
        <f aca="false">Tabela43[[#This Row],[Kolumna123]]/0.55</f>
        <v>4363.63636363636</v>
      </c>
      <c r="AA125" s="125"/>
      <c r="AB125" s="125" t="n">
        <v>500</v>
      </c>
      <c r="AC125" s="125" t="n">
        <f aca="false">Tabela54[[#This Row],[Kolumna22]]*12</f>
        <v>6000</v>
      </c>
      <c r="AD125" s="122" t="n">
        <f aca="false">Tabela54[[#This Row],[Kolumna3]]/4.44</f>
        <v>1351.35135135135</v>
      </c>
      <c r="AE125" s="120" t="n">
        <f aca="false">Tabela54[[#This Row],[Kolumna23]]*Tabela54[[#This Row],[Kolumna63]]</f>
        <v>540.540540540541</v>
      </c>
      <c r="AF125" s="120"/>
      <c r="AG125" s="122" t="n">
        <f aca="false">Tabela54[[#This Row],[Kolumna12]]*12</f>
        <v>0</v>
      </c>
      <c r="AH125" s="122" t="n">
        <f aca="false">Tabela54[[#This Row],[Kolumna222]]/1.59</f>
        <v>0</v>
      </c>
      <c r="AI125" s="119" t="n">
        <f aca="false">Tabela54[[#This Row],[Kolumna223]]*Tabela54[[#This Row],[Kolumna63]]</f>
        <v>0</v>
      </c>
      <c r="AJ125" s="119"/>
      <c r="AK125" s="122" t="n">
        <f aca="false">Tabela54[[#This Row],[Kolumna34]]*12</f>
        <v>0</v>
      </c>
      <c r="AL125" s="122" t="n">
        <f aca="false">Tabela54[[#This Row],[Kolumna32]]/4.2</f>
        <v>0</v>
      </c>
      <c r="AM125" s="119" t="n">
        <f aca="false">Tabela54[[#This Row],[Kolumna322]]*Tabela54[[#This Row],[Kolumna63]]</f>
        <v>0</v>
      </c>
      <c r="AN125" s="122"/>
      <c r="AO125" s="122" t="n">
        <f aca="false">Tabela54[[#This Row],[Kolumna5]]*Tabela54[[#This Row],[Kolumna63]]</f>
        <v>0</v>
      </c>
      <c r="AP125" s="53" t="n">
        <v>0.4</v>
      </c>
      <c r="AQ125" s="29"/>
      <c r="AR125" s="29"/>
      <c r="AS125" s="29"/>
      <c r="AT125" s="29"/>
    </row>
    <row r="126" customFormat="false" ht="30" hidden="false" customHeight="true" outlineLevel="0" collapsed="false">
      <c r="A126" s="40" t="n">
        <v>119</v>
      </c>
      <c r="B126" s="27" t="s">
        <v>241</v>
      </c>
      <c r="C126" s="49" t="s">
        <v>248</v>
      </c>
      <c r="D126" s="134"/>
      <c r="E126" s="135" t="n">
        <v>100</v>
      </c>
      <c r="F12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411.06984</v>
      </c>
      <c r="G126" s="135"/>
      <c r="H126" s="130" t="n">
        <v>2</v>
      </c>
      <c r="I126" s="26" t="n">
        <f aca="false">Tabela43[[#This Row],[Kolumna5]]*20700*0.27778</f>
        <v>11500.092</v>
      </c>
      <c r="J126" s="130"/>
      <c r="K126" s="130"/>
      <c r="L126" s="28" t="n">
        <f aca="false">Tabela43[[#This Row],[Kolumna8]]*0.000843882*40190*0.27778</f>
        <v>0</v>
      </c>
      <c r="M126" s="130"/>
      <c r="N126" s="146" t="n">
        <f aca="false">Tabela43[[#This Row],[Kolumna84]]/2.55</f>
        <v>0</v>
      </c>
      <c r="O126" s="28" t="n">
        <f aca="false">Tabela43[[#This Row],[Kolumna82]]*35.94*0.27778</f>
        <v>0</v>
      </c>
      <c r="P126" s="130"/>
      <c r="Q126" s="130"/>
      <c r="R126" s="130" t="n">
        <v>10</v>
      </c>
      <c r="S126" s="116" t="n">
        <f aca="false">Tabela43[[#This Row],[Kolumna92]]*0.65</f>
        <v>6.5</v>
      </c>
      <c r="T126" s="28" t="n">
        <f aca="false">Tabela43[[#This Row],[Kolumna10]]*15600*0.27778</f>
        <v>28166.892</v>
      </c>
      <c r="U126" s="130"/>
      <c r="V126" s="130"/>
      <c r="W126" s="130"/>
      <c r="X126" s="130" t="n">
        <v>120</v>
      </c>
      <c r="Y126" s="130" t="n">
        <f aca="false">Tabela43[[#This Row],[Kolumna1223]]*12</f>
        <v>1440</v>
      </c>
      <c r="Z126" s="28" t="n">
        <f aca="false">Tabela43[[#This Row],[Kolumna123]]/0.55</f>
        <v>2618.18181818182</v>
      </c>
      <c r="AA126" s="125"/>
      <c r="AB126" s="125" t="n">
        <v>200</v>
      </c>
      <c r="AC126" s="125" t="n">
        <f aca="false">Tabela54[[#This Row],[Kolumna22]]*12</f>
        <v>2400</v>
      </c>
      <c r="AD126" s="122" t="n">
        <f aca="false">Tabela54[[#This Row],[Kolumna3]]/4.44</f>
        <v>540.540540540541</v>
      </c>
      <c r="AE126" s="120" t="n">
        <f aca="false">Tabela54[[#This Row],[Kolumna23]]*Tabela54[[#This Row],[Kolumna63]]</f>
        <v>108.108108108108</v>
      </c>
      <c r="AF126" s="120" t="n">
        <v>100</v>
      </c>
      <c r="AG126" s="122" t="n">
        <f aca="false">Tabela54[[#This Row],[Kolumna12]]*12</f>
        <v>1200</v>
      </c>
      <c r="AH126" s="122" t="n">
        <f aca="false">Tabela54[[#This Row],[Kolumna222]]/1.59</f>
        <v>754.716981132076</v>
      </c>
      <c r="AI126" s="119" t="n">
        <f aca="false">Tabela54[[#This Row],[Kolumna223]]*Tabela54[[#This Row],[Kolumna63]]</f>
        <v>150.943396226415</v>
      </c>
      <c r="AJ126" s="119"/>
      <c r="AK126" s="122" t="n">
        <f aca="false">Tabela54[[#This Row],[Kolumna34]]*12</f>
        <v>0</v>
      </c>
      <c r="AL126" s="122" t="n">
        <f aca="false">Tabela54[[#This Row],[Kolumna32]]/4.2</f>
        <v>0</v>
      </c>
      <c r="AM126" s="119" t="n">
        <f aca="false">Tabela54[[#This Row],[Kolumna322]]*Tabela54[[#This Row],[Kolumna63]]</f>
        <v>0</v>
      </c>
      <c r="AN126" s="122"/>
      <c r="AO126" s="122" t="n">
        <f aca="false">Tabela54[[#This Row],[Kolumna5]]*Tabela54[[#This Row],[Kolumna63]]</f>
        <v>0</v>
      </c>
      <c r="AP126" s="53" t="n">
        <v>0.2</v>
      </c>
      <c r="AQ126" s="29"/>
      <c r="AR126" s="29"/>
      <c r="AS126" s="29"/>
      <c r="AT126" s="29"/>
    </row>
    <row r="127" customFormat="false" ht="30" hidden="false" customHeight="true" outlineLevel="0" collapsed="false">
      <c r="A127" s="25" t="n">
        <v>120</v>
      </c>
      <c r="B127" s="27" t="s">
        <v>241</v>
      </c>
      <c r="C127" s="49" t="s">
        <v>246</v>
      </c>
      <c r="D127" s="134"/>
      <c r="E127" s="135" t="n">
        <v>60</v>
      </c>
      <c r="F12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403.44748</v>
      </c>
      <c r="G127" s="135"/>
      <c r="H127" s="130" t="n">
        <v>2</v>
      </c>
      <c r="I127" s="26" t="n">
        <f aca="false">Tabela43[[#This Row],[Kolumna5]]*20700*0.27778</f>
        <v>11500.092</v>
      </c>
      <c r="J127" s="130"/>
      <c r="K127" s="130"/>
      <c r="L127" s="28" t="n">
        <f aca="false">Tabela43[[#This Row],[Kolumna8]]*0.000843882*40190*0.27778</f>
        <v>0</v>
      </c>
      <c r="M127" s="130"/>
      <c r="N127" s="146" t="n">
        <f aca="false">Tabela43[[#This Row],[Kolumna84]]/2.55</f>
        <v>0</v>
      </c>
      <c r="O127" s="28" t="n">
        <f aca="false">Tabela43[[#This Row],[Kolumna82]]*35.94*0.27778</f>
        <v>0</v>
      </c>
      <c r="P127" s="130" t="n">
        <v>12</v>
      </c>
      <c r="Q127" s="130"/>
      <c r="R127" s="130" t="n">
        <v>4</v>
      </c>
      <c r="S127" s="116" t="n">
        <f aca="false">Tabela43[[#This Row],[Kolumna92]]*0.65</f>
        <v>2.6</v>
      </c>
      <c r="T127" s="28" t="n">
        <f aca="false">Tabela43[[#This Row],[Kolumna10]]*15600*0.27778</f>
        <v>11266.7568</v>
      </c>
      <c r="U127" s="130"/>
      <c r="V127" s="130"/>
      <c r="W127" s="130"/>
      <c r="X127" s="130" t="n">
        <v>120</v>
      </c>
      <c r="Y127" s="130" t="n">
        <f aca="false">Tabela43[[#This Row],[Kolumna1223]]*12</f>
        <v>1440</v>
      </c>
      <c r="Z127" s="28" t="n">
        <f aca="false">Tabela43[[#This Row],[Kolumna123]]/0.55</f>
        <v>2618.18181818182</v>
      </c>
      <c r="AA127" s="125"/>
      <c r="AB127" s="125" t="n">
        <v>300</v>
      </c>
      <c r="AC127" s="125" t="n">
        <f aca="false">Tabela54[[#This Row],[Kolumna22]]*12</f>
        <v>3600</v>
      </c>
      <c r="AD127" s="122" t="n">
        <f aca="false">Tabela54[[#This Row],[Kolumna3]]/4.44</f>
        <v>810.810810810811</v>
      </c>
      <c r="AE127" s="120" t="n">
        <f aca="false">Tabela54[[#This Row],[Kolumna23]]*Tabela54[[#This Row],[Kolumna63]]</f>
        <v>162.162162162162</v>
      </c>
      <c r="AF127" s="120"/>
      <c r="AG127" s="122" t="n">
        <f aca="false">Tabela54[[#This Row],[Kolumna12]]*12</f>
        <v>0</v>
      </c>
      <c r="AH127" s="122" t="n">
        <f aca="false">Tabela54[[#This Row],[Kolumna222]]/1.59</f>
        <v>0</v>
      </c>
      <c r="AI127" s="119" t="n">
        <f aca="false">Tabela54[[#This Row],[Kolumna223]]*Tabela54[[#This Row],[Kolumna63]]</f>
        <v>0</v>
      </c>
      <c r="AJ127" s="119"/>
      <c r="AK127" s="122" t="n">
        <f aca="false">Tabela54[[#This Row],[Kolumna34]]*12</f>
        <v>0</v>
      </c>
      <c r="AL127" s="122" t="n">
        <f aca="false">Tabela54[[#This Row],[Kolumna32]]/4.2</f>
        <v>0</v>
      </c>
      <c r="AM127" s="119" t="n">
        <f aca="false">Tabela54[[#This Row],[Kolumna322]]*Tabela54[[#This Row],[Kolumna63]]</f>
        <v>0</v>
      </c>
      <c r="AN127" s="122"/>
      <c r="AO127" s="122" t="n">
        <f aca="false">Tabela54[[#This Row],[Kolumna5]]*Tabela54[[#This Row],[Kolumna63]]</f>
        <v>0</v>
      </c>
      <c r="AP127" s="53" t="n">
        <v>0.2</v>
      </c>
      <c r="AQ127" s="29"/>
      <c r="AR127" s="29"/>
      <c r="AS127" s="29"/>
      <c r="AT127" s="29"/>
    </row>
    <row r="128" customFormat="false" ht="30" hidden="false" customHeight="true" outlineLevel="0" collapsed="false">
      <c r="A128" s="25" t="n">
        <v>121</v>
      </c>
      <c r="B128" s="27" t="s">
        <v>241</v>
      </c>
      <c r="C128" s="49" t="s">
        <v>246</v>
      </c>
      <c r="D128" s="134"/>
      <c r="E128" s="135" t="n">
        <v>120</v>
      </c>
      <c r="F12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345.5582</v>
      </c>
      <c r="G128" s="135"/>
      <c r="H128" s="130" t="n">
        <v>2</v>
      </c>
      <c r="I128" s="26" t="n">
        <f aca="false">Tabela43[[#This Row],[Kolumna5]]*20700*0.27778</f>
        <v>11500.092</v>
      </c>
      <c r="J128" s="130"/>
      <c r="K128" s="130"/>
      <c r="L128" s="28" t="n">
        <f aca="false">Tabela43[[#This Row],[Kolumna8]]*0.000843882*40190*0.27778</f>
        <v>0</v>
      </c>
      <c r="M128" s="130"/>
      <c r="N128" s="146" t="n">
        <f aca="false">Tabela43[[#This Row],[Kolumna84]]/2.55</f>
        <v>0</v>
      </c>
      <c r="O128" s="28" t="n">
        <f aca="false">Tabela43[[#This Row],[Kolumna82]]*35.94*0.27778</f>
        <v>0</v>
      </c>
      <c r="P128" s="130"/>
      <c r="Q128" s="130"/>
      <c r="R128" s="130" t="n">
        <v>10</v>
      </c>
      <c r="S128" s="116" t="n">
        <f aca="false">Tabela43[[#This Row],[Kolumna92]]*0.65</f>
        <v>6.5</v>
      </c>
      <c r="T128" s="28" t="n">
        <f aca="false">Tabela43[[#This Row],[Kolumna10]]*15600*0.27778</f>
        <v>28166.892</v>
      </c>
      <c r="U128" s="130"/>
      <c r="V128" s="130"/>
      <c r="W128" s="130"/>
      <c r="X128" s="130" t="n">
        <v>150</v>
      </c>
      <c r="Y128" s="130" t="n">
        <f aca="false">Tabela43[[#This Row],[Kolumna1223]]*12</f>
        <v>1800</v>
      </c>
      <c r="Z128" s="28" t="n">
        <f aca="false">Tabela43[[#This Row],[Kolumna123]]/0.55</f>
        <v>3272.72727272727</v>
      </c>
      <c r="AA128" s="125"/>
      <c r="AB128" s="125" t="n">
        <v>200</v>
      </c>
      <c r="AC128" s="125" t="n">
        <f aca="false">Tabela54[[#This Row],[Kolumna22]]*12</f>
        <v>2400</v>
      </c>
      <c r="AD128" s="122" t="n">
        <f aca="false">Tabela54[[#This Row],[Kolumna3]]/4.44</f>
        <v>540.540540540541</v>
      </c>
      <c r="AE128" s="120" t="n">
        <f aca="false">Tabela54[[#This Row],[Kolumna23]]*Tabela54[[#This Row],[Kolumna63]]</f>
        <v>108.108108108108</v>
      </c>
      <c r="AF128" s="120" t="n">
        <v>200</v>
      </c>
      <c r="AG128" s="122" t="n">
        <f aca="false">Tabela54[[#This Row],[Kolumna12]]*12</f>
        <v>2400</v>
      </c>
      <c r="AH128" s="122" t="n">
        <f aca="false">Tabela54[[#This Row],[Kolumna222]]/1.59</f>
        <v>1509.43396226415</v>
      </c>
      <c r="AI128" s="119" t="n">
        <f aca="false">Tabela54[[#This Row],[Kolumna223]]*Tabela54[[#This Row],[Kolumna63]]</f>
        <v>301.88679245283</v>
      </c>
      <c r="AJ128" s="119"/>
      <c r="AK128" s="122" t="n">
        <f aca="false">Tabela54[[#This Row],[Kolumna34]]*12</f>
        <v>0</v>
      </c>
      <c r="AL128" s="122" t="n">
        <f aca="false">Tabela54[[#This Row],[Kolumna32]]/4.2</f>
        <v>0</v>
      </c>
      <c r="AM128" s="119" t="n">
        <f aca="false">Tabela54[[#This Row],[Kolumna322]]*Tabela54[[#This Row],[Kolumna63]]</f>
        <v>0</v>
      </c>
      <c r="AN128" s="122"/>
      <c r="AO128" s="122" t="n">
        <f aca="false">Tabela54[[#This Row],[Kolumna5]]*Tabela54[[#This Row],[Kolumna63]]</f>
        <v>0</v>
      </c>
      <c r="AP128" s="53" t="n">
        <v>0.2</v>
      </c>
      <c r="AQ128" s="29"/>
      <c r="AR128" s="29"/>
      <c r="AS128" s="29"/>
      <c r="AT128" s="29"/>
    </row>
    <row r="129" customFormat="false" ht="30" hidden="false" customHeight="true" outlineLevel="0" collapsed="false">
      <c r="A129" s="40" t="n">
        <v>122</v>
      </c>
      <c r="B129" s="27" t="s">
        <v>241</v>
      </c>
      <c r="C129" s="49" t="s">
        <v>246</v>
      </c>
      <c r="D129" s="134"/>
      <c r="E129" s="135" t="n">
        <v>100</v>
      </c>
      <c r="F12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248.035164</v>
      </c>
      <c r="G129" s="135"/>
      <c r="H129" s="130" t="n">
        <v>3</v>
      </c>
      <c r="I129" s="26" t="n">
        <f aca="false">Tabela43[[#This Row],[Kolumna5]]*20700*0.27778</f>
        <v>17250.138</v>
      </c>
      <c r="J129" s="130"/>
      <c r="K129" s="130"/>
      <c r="L129" s="28" t="n">
        <f aca="false">Tabela43[[#This Row],[Kolumna8]]*0.000843882*40190*0.27778</f>
        <v>0</v>
      </c>
      <c r="M129" s="130"/>
      <c r="N129" s="146" t="n">
        <f aca="false">Tabela43[[#This Row],[Kolumna84]]/2.55</f>
        <v>0</v>
      </c>
      <c r="O129" s="28" t="n">
        <f aca="false">Tabela43[[#This Row],[Kolumna82]]*35.94*0.27778</f>
        <v>0</v>
      </c>
      <c r="P129" s="130"/>
      <c r="Q129" s="130"/>
      <c r="R129" s="130" t="n">
        <v>2</v>
      </c>
      <c r="S129" s="116" t="n">
        <f aca="false">Tabela43[[#This Row],[Kolumna92]]*0.65</f>
        <v>1.3</v>
      </c>
      <c r="T129" s="28" t="n">
        <f aca="false">Tabela43[[#This Row],[Kolumna10]]*15600*0.27778</f>
        <v>5633.3784</v>
      </c>
      <c r="U129" s="130"/>
      <c r="V129" s="130"/>
      <c r="W129" s="130"/>
      <c r="X129" s="130" t="n">
        <v>160</v>
      </c>
      <c r="Y129" s="130" t="n">
        <f aca="false">Tabela43[[#This Row],[Kolumna1223]]*12</f>
        <v>1920</v>
      </c>
      <c r="Z129" s="28" t="n">
        <f aca="false">Tabela43[[#This Row],[Kolumna123]]/0.55</f>
        <v>3490.90909090909</v>
      </c>
      <c r="AA129" s="125"/>
      <c r="AB129" s="125" t="n">
        <v>300</v>
      </c>
      <c r="AC129" s="125" t="n">
        <f aca="false">Tabela54[[#This Row],[Kolumna22]]*12</f>
        <v>3600</v>
      </c>
      <c r="AD129" s="122" t="n">
        <f aca="false">Tabela54[[#This Row],[Kolumna3]]/4.44</f>
        <v>810.810810810811</v>
      </c>
      <c r="AE129" s="120" t="n">
        <f aca="false">Tabela54[[#This Row],[Kolumna23]]*Tabela54[[#This Row],[Kolumna63]]</f>
        <v>324.324324324324</v>
      </c>
      <c r="AF129" s="120"/>
      <c r="AG129" s="122" t="n">
        <f aca="false">Tabela54[[#This Row],[Kolumna12]]*12</f>
        <v>0</v>
      </c>
      <c r="AH129" s="122" t="n">
        <f aca="false">Tabela54[[#This Row],[Kolumna222]]/1.59</f>
        <v>0</v>
      </c>
      <c r="AI129" s="119" t="n">
        <f aca="false">Tabela54[[#This Row],[Kolumna223]]*Tabela54[[#This Row],[Kolumna63]]</f>
        <v>0</v>
      </c>
      <c r="AJ129" s="119"/>
      <c r="AK129" s="122" t="n">
        <f aca="false">Tabela54[[#This Row],[Kolumna34]]*12</f>
        <v>0</v>
      </c>
      <c r="AL129" s="122" t="n">
        <f aca="false">Tabela54[[#This Row],[Kolumna32]]/4.2</f>
        <v>0</v>
      </c>
      <c r="AM129" s="119" t="n">
        <f aca="false">Tabela54[[#This Row],[Kolumna322]]*Tabela54[[#This Row],[Kolumna63]]</f>
        <v>0</v>
      </c>
      <c r="AN129" s="122"/>
      <c r="AO129" s="122" t="n">
        <f aca="false">Tabela54[[#This Row],[Kolumna5]]*Tabela54[[#This Row],[Kolumna63]]</f>
        <v>0</v>
      </c>
      <c r="AP129" s="53" t="n">
        <v>0.4</v>
      </c>
      <c r="AQ129" s="29"/>
      <c r="AR129" s="29"/>
      <c r="AS129" s="29"/>
      <c r="AT129" s="29"/>
    </row>
    <row r="130" customFormat="false" ht="30" hidden="false" customHeight="true" outlineLevel="0" collapsed="false">
      <c r="A130" s="25" t="n">
        <v>123</v>
      </c>
      <c r="B130" s="27" t="s">
        <v>241</v>
      </c>
      <c r="C130" s="49" t="s">
        <v>246</v>
      </c>
      <c r="D130" s="134"/>
      <c r="E130" s="135" t="n">
        <v>100</v>
      </c>
      <c r="F13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355.96938</v>
      </c>
      <c r="G130" s="135"/>
      <c r="H130" s="130" t="n">
        <v>1</v>
      </c>
      <c r="I130" s="26" t="n">
        <f aca="false">Tabela43[[#This Row],[Kolumna5]]*20700*0.27778</f>
        <v>5750.046</v>
      </c>
      <c r="J130" s="130"/>
      <c r="K130" s="130"/>
      <c r="L130" s="28" t="n">
        <f aca="false">Tabela43[[#This Row],[Kolumna8]]*0.000843882*40190*0.27778</f>
        <v>0</v>
      </c>
      <c r="M130" s="130"/>
      <c r="N130" s="146" t="n">
        <f aca="false">Tabela43[[#This Row],[Kolumna84]]/2.55</f>
        <v>0</v>
      </c>
      <c r="O130" s="28" t="n">
        <f aca="false">Tabela43[[#This Row],[Kolumna82]]*35.94*0.27778</f>
        <v>0</v>
      </c>
      <c r="P130" s="130"/>
      <c r="Q130" s="130"/>
      <c r="R130" s="130" t="n">
        <v>10</v>
      </c>
      <c r="S130" s="116" t="n">
        <f aca="false">Tabela43[[#This Row],[Kolumna92]]*0.65</f>
        <v>6.5</v>
      </c>
      <c r="T130" s="28" t="n">
        <f aca="false">Tabela43[[#This Row],[Kolumna10]]*15600*0.27778</f>
        <v>28166.892</v>
      </c>
      <c r="U130" s="130"/>
      <c r="V130" s="130"/>
      <c r="W130" s="130"/>
      <c r="X130" s="130" t="n">
        <v>140</v>
      </c>
      <c r="Y130" s="130" t="n">
        <f aca="false">Tabela43[[#This Row],[Kolumna1223]]*12</f>
        <v>1680</v>
      </c>
      <c r="Z130" s="28" t="n">
        <f aca="false">Tabela43[[#This Row],[Kolumna123]]/0.55</f>
        <v>3054.54545454545</v>
      </c>
      <c r="AA130" s="125"/>
      <c r="AB130" s="125"/>
      <c r="AC130" s="125" t="n">
        <f aca="false">Tabela54[[#This Row],[Kolumna22]]*12</f>
        <v>0</v>
      </c>
      <c r="AD130" s="122" t="n">
        <f aca="false">Tabela54[[#This Row],[Kolumna3]]/4.44</f>
        <v>0</v>
      </c>
      <c r="AE130" s="120" t="n">
        <f aca="false">Tabela54[[#This Row],[Kolumna23]]*Tabela54[[#This Row],[Kolumna63]]</f>
        <v>0</v>
      </c>
      <c r="AF130" s="120"/>
      <c r="AG130" s="122" t="n">
        <f aca="false">Tabela54[[#This Row],[Kolumna12]]*12</f>
        <v>0</v>
      </c>
      <c r="AH130" s="122" t="n">
        <f aca="false">Tabela54[[#This Row],[Kolumna222]]/1.59</f>
        <v>0</v>
      </c>
      <c r="AI130" s="119" t="n">
        <f aca="false">Tabela54[[#This Row],[Kolumna223]]*Tabela54[[#This Row],[Kolumna63]]</f>
        <v>0</v>
      </c>
      <c r="AJ130" s="119" t="n">
        <v>400</v>
      </c>
      <c r="AK130" s="122" t="n">
        <f aca="false">Tabela54[[#This Row],[Kolumna34]]*12</f>
        <v>4800</v>
      </c>
      <c r="AL130" s="122" t="n">
        <f aca="false">Tabela54[[#This Row],[Kolumna32]]/4.2</f>
        <v>1142.85714285714</v>
      </c>
      <c r="AM130" s="119" t="n">
        <f aca="false">Tabela54[[#This Row],[Kolumna322]]*Tabela54[[#This Row],[Kolumna63]]</f>
        <v>342.857142857143</v>
      </c>
      <c r="AN130" s="122"/>
      <c r="AO130" s="122" t="n">
        <f aca="false">Tabela54[[#This Row],[Kolumna5]]*Tabela54[[#This Row],[Kolumna63]]</f>
        <v>0</v>
      </c>
      <c r="AP130" s="53" t="n">
        <v>0.3</v>
      </c>
      <c r="AQ130" s="29"/>
      <c r="AR130" s="29"/>
      <c r="AS130" s="29"/>
      <c r="AT130" s="29"/>
    </row>
    <row r="131" customFormat="false" ht="30" hidden="false" customHeight="true" outlineLevel="0" collapsed="false">
      <c r="A131" s="25" t="n">
        <v>124</v>
      </c>
      <c r="B131" s="27" t="s">
        <v>241</v>
      </c>
      <c r="C131" s="49" t="s">
        <v>246</v>
      </c>
      <c r="D131" s="134"/>
      <c r="E131" s="135" t="n">
        <v>120</v>
      </c>
      <c r="F13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154.77892</v>
      </c>
      <c r="G131" s="135"/>
      <c r="H131" s="130" t="n">
        <v>2</v>
      </c>
      <c r="I131" s="26" t="n">
        <f aca="false">Tabela43[[#This Row],[Kolumna5]]*20700*0.27778</f>
        <v>11500.092</v>
      </c>
      <c r="J131" s="130"/>
      <c r="K131" s="130"/>
      <c r="L131" s="28" t="n">
        <f aca="false">Tabela43[[#This Row],[Kolumna8]]*0.000843882*40190*0.27778</f>
        <v>0</v>
      </c>
      <c r="M131" s="130"/>
      <c r="N131" s="146" t="n">
        <f aca="false">Tabela43[[#This Row],[Kolumna84]]/2.55</f>
        <v>0</v>
      </c>
      <c r="O131" s="28" t="n">
        <f aca="false">Tabela43[[#This Row],[Kolumna82]]*35.94*0.27778</f>
        <v>0</v>
      </c>
      <c r="P131" s="130"/>
      <c r="Q131" s="130"/>
      <c r="R131" s="130" t="n">
        <v>2</v>
      </c>
      <c r="S131" s="116" t="n">
        <f aca="false">Tabela43[[#This Row],[Kolumna92]]*0.65</f>
        <v>1.3</v>
      </c>
      <c r="T131" s="28" t="n">
        <f aca="false">Tabela43[[#This Row],[Kolumna10]]*15600*0.27778</f>
        <v>5633.3784</v>
      </c>
      <c r="U131" s="130"/>
      <c r="V131" s="130"/>
      <c r="W131" s="130"/>
      <c r="X131" s="130" t="n">
        <v>120</v>
      </c>
      <c r="Y131" s="130" t="n">
        <f aca="false">Tabela43[[#This Row],[Kolumna1223]]*12</f>
        <v>1440</v>
      </c>
      <c r="Z131" s="28" t="n">
        <f aca="false">Tabela43[[#This Row],[Kolumna123]]/0.55</f>
        <v>2618.18181818182</v>
      </c>
      <c r="AA131" s="130"/>
      <c r="AB131" s="130"/>
      <c r="AC131" s="125" t="n">
        <f aca="false">Tabela54[[#This Row],[Kolumna22]]*12</f>
        <v>0</v>
      </c>
      <c r="AD131" s="122" t="n">
        <f aca="false">Tabela54[[#This Row],[Kolumna3]]/4.44</f>
        <v>0</v>
      </c>
      <c r="AE131" s="120" t="n">
        <f aca="false">Tabela54[[#This Row],[Kolumna23]]*Tabela54[[#This Row],[Kolumna63]]</f>
        <v>0</v>
      </c>
      <c r="AF131" s="120"/>
      <c r="AG131" s="122" t="n">
        <f aca="false">Tabela54[[#This Row],[Kolumna12]]*12</f>
        <v>0</v>
      </c>
      <c r="AH131" s="122" t="n">
        <f aca="false">Tabela54[[#This Row],[Kolumna222]]/1.59</f>
        <v>0</v>
      </c>
      <c r="AI131" s="119" t="n">
        <f aca="false">Tabela54[[#This Row],[Kolumna223]]*Tabela54[[#This Row],[Kolumna63]]</f>
        <v>0</v>
      </c>
      <c r="AJ131" s="119" t="n">
        <v>300</v>
      </c>
      <c r="AK131" s="122" t="n">
        <f aca="false">Tabela54[[#This Row],[Kolumna34]]*12</f>
        <v>3600</v>
      </c>
      <c r="AL131" s="122" t="n">
        <f aca="false">Tabela54[[#This Row],[Kolumna32]]/4.2</f>
        <v>857.142857142857</v>
      </c>
      <c r="AM131" s="119" t="n">
        <f aca="false">Tabela54[[#This Row],[Kolumna322]]*Tabela54[[#This Row],[Kolumna63]]</f>
        <v>257.142857142857</v>
      </c>
      <c r="AN131" s="122"/>
      <c r="AO131" s="122" t="n">
        <f aca="false">Tabela54[[#This Row],[Kolumna5]]*Tabela54[[#This Row],[Kolumna63]]</f>
        <v>0</v>
      </c>
      <c r="AP131" s="53" t="n">
        <v>0.3</v>
      </c>
      <c r="AQ131" s="29"/>
      <c r="AR131" s="29"/>
      <c r="AS131" s="29"/>
      <c r="AT131" s="29"/>
    </row>
    <row r="132" customFormat="false" ht="30" hidden="false" customHeight="true" outlineLevel="0" collapsed="false">
      <c r="A132" s="40" t="n">
        <v>125</v>
      </c>
      <c r="B132" s="27" t="s">
        <v>241</v>
      </c>
      <c r="C132" s="49" t="s">
        <v>248</v>
      </c>
      <c r="D132" s="134"/>
      <c r="E132" s="135" t="n">
        <v>120</v>
      </c>
      <c r="F13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200.69597</v>
      </c>
      <c r="G132" s="135"/>
      <c r="H132" s="130" t="n">
        <v>3</v>
      </c>
      <c r="I132" s="26" t="n">
        <f aca="false">Tabela43[[#This Row],[Kolumna5]]*20700*0.27778</f>
        <v>17250.138</v>
      </c>
      <c r="J132" s="130"/>
      <c r="K132" s="130"/>
      <c r="L132" s="28" t="n">
        <f aca="false">Tabela43[[#This Row],[Kolumna8]]*0.000843882*40190*0.27778</f>
        <v>0</v>
      </c>
      <c r="M132" s="130"/>
      <c r="N132" s="146" t="n">
        <f aca="false">Tabela43[[#This Row],[Kolumna84]]/2.55</f>
        <v>0</v>
      </c>
      <c r="O132" s="28" t="n">
        <f aca="false">Tabela43[[#This Row],[Kolumna82]]*35.94*0.27778</f>
        <v>0</v>
      </c>
      <c r="P132" s="130"/>
      <c r="Q132" s="130"/>
      <c r="R132" s="130" t="n">
        <v>2</v>
      </c>
      <c r="S132" s="116" t="n">
        <f aca="false">Tabela43[[#This Row],[Kolumna92]]*0.65</f>
        <v>1.3</v>
      </c>
      <c r="T132" s="28" t="n">
        <f aca="false">Tabela43[[#This Row],[Kolumna10]]*15600*0.27778</f>
        <v>5633.3784</v>
      </c>
      <c r="U132" s="130"/>
      <c r="V132" s="130"/>
      <c r="W132" s="130"/>
      <c r="X132" s="130" t="n">
        <v>100</v>
      </c>
      <c r="Y132" s="130" t="n">
        <f aca="false">Tabela43[[#This Row],[Kolumna1223]]*12</f>
        <v>1200</v>
      </c>
      <c r="Z132" s="28" t="n">
        <f aca="false">Tabela43[[#This Row],[Kolumna123]]/0.55</f>
        <v>2181.81818181818</v>
      </c>
      <c r="AA132" s="130"/>
      <c r="AB132" s="130" t="n">
        <v>300</v>
      </c>
      <c r="AC132" s="125" t="n">
        <f aca="false">Tabela54[[#This Row],[Kolumna22]]*12</f>
        <v>3600</v>
      </c>
      <c r="AD132" s="122" t="n">
        <f aca="false">Tabela54[[#This Row],[Kolumna3]]/4.44</f>
        <v>810.810810810811</v>
      </c>
      <c r="AE132" s="120" t="n">
        <f aca="false">Tabela54[[#This Row],[Kolumna23]]*Tabela54[[#This Row],[Kolumna63]]</f>
        <v>81.0810810810811</v>
      </c>
      <c r="AF132" s="120"/>
      <c r="AG132" s="122" t="n">
        <f aca="false">Tabela54[[#This Row],[Kolumna12]]*12</f>
        <v>0</v>
      </c>
      <c r="AH132" s="122" t="n">
        <f aca="false">Tabela54[[#This Row],[Kolumna222]]/1.59</f>
        <v>0</v>
      </c>
      <c r="AI132" s="119" t="n">
        <f aca="false">Tabela54[[#This Row],[Kolumna223]]*Tabela54[[#This Row],[Kolumna63]]</f>
        <v>0</v>
      </c>
      <c r="AJ132" s="119"/>
      <c r="AK132" s="122" t="n">
        <f aca="false">Tabela54[[#This Row],[Kolumna34]]*12</f>
        <v>0</v>
      </c>
      <c r="AL132" s="122" t="n">
        <f aca="false">Tabela54[[#This Row],[Kolumna32]]/4.2</f>
        <v>0</v>
      </c>
      <c r="AM132" s="119" t="n">
        <f aca="false">Tabela54[[#This Row],[Kolumna322]]*Tabela54[[#This Row],[Kolumna63]]</f>
        <v>0</v>
      </c>
      <c r="AN132" s="122"/>
      <c r="AO132" s="122" t="n">
        <f aca="false">Tabela54[[#This Row],[Kolumna5]]*Tabela54[[#This Row],[Kolumna63]]</f>
        <v>0</v>
      </c>
      <c r="AP132" s="53" t="n">
        <v>0.1</v>
      </c>
      <c r="AQ132" s="29"/>
      <c r="AR132" s="29"/>
      <c r="AS132" s="29"/>
      <c r="AT132" s="29"/>
    </row>
    <row r="133" customFormat="false" ht="30" hidden="false" customHeight="true" outlineLevel="0" collapsed="false">
      <c r="A133" s="25" t="n">
        <v>126</v>
      </c>
      <c r="B133" s="27" t="s">
        <v>241</v>
      </c>
      <c r="C133" s="49" t="s">
        <v>248</v>
      </c>
      <c r="D133" s="134"/>
      <c r="E133" s="135" t="n">
        <v>200</v>
      </c>
      <c r="F13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155.167812</v>
      </c>
      <c r="G133" s="135"/>
      <c r="H133" s="130" t="n">
        <v>4</v>
      </c>
      <c r="I133" s="26" t="n">
        <f aca="false">Tabela43[[#This Row],[Kolumna5]]*20700*0.27778</f>
        <v>23000.184</v>
      </c>
      <c r="J133" s="130"/>
      <c r="K133" s="130"/>
      <c r="L133" s="28" t="n">
        <f aca="false">Tabela43[[#This Row],[Kolumna8]]*0.000843882*40190*0.27778</f>
        <v>0</v>
      </c>
      <c r="M133" s="130"/>
      <c r="N133" s="146" t="n">
        <f aca="false">Tabela43[[#This Row],[Kolumna84]]/2.55</f>
        <v>0</v>
      </c>
      <c r="O133" s="28" t="n">
        <f aca="false">Tabela43[[#This Row],[Kolumna82]]*35.94*0.27778</f>
        <v>0</v>
      </c>
      <c r="P133" s="130"/>
      <c r="Q133" s="130"/>
      <c r="R133" s="130" t="n">
        <v>2</v>
      </c>
      <c r="S133" s="116" t="n">
        <f aca="false">Tabela43[[#This Row],[Kolumna92]]*0.65</f>
        <v>1.3</v>
      </c>
      <c r="T133" s="28" t="n">
        <f aca="false">Tabela43[[#This Row],[Kolumna10]]*15600*0.27778</f>
        <v>5633.3784</v>
      </c>
      <c r="U133" s="130"/>
      <c r="V133" s="130"/>
      <c r="W133" s="130"/>
      <c r="X133" s="130" t="n">
        <v>200</v>
      </c>
      <c r="Y133" s="130" t="n">
        <f aca="false">Tabela43[[#This Row],[Kolumna1223]]*12</f>
        <v>2400</v>
      </c>
      <c r="Z133" s="28" t="n">
        <f aca="false">Tabela43[[#This Row],[Kolumna123]]/0.55</f>
        <v>4363.63636363636</v>
      </c>
      <c r="AA133" s="130"/>
      <c r="AB133" s="130" t="n">
        <v>300</v>
      </c>
      <c r="AC133" s="125" t="n">
        <f aca="false">Tabela54[[#This Row],[Kolumna22]]*12</f>
        <v>3600</v>
      </c>
      <c r="AD133" s="122" t="n">
        <f aca="false">Tabela54[[#This Row],[Kolumna3]]/4.44</f>
        <v>810.810810810811</v>
      </c>
      <c r="AE133" s="120" t="n">
        <f aca="false">Tabela54[[#This Row],[Kolumna23]]*Tabela54[[#This Row],[Kolumna63]]</f>
        <v>243.243243243243</v>
      </c>
      <c r="AF133" s="120" t="n">
        <v>200</v>
      </c>
      <c r="AG133" s="122" t="n">
        <f aca="false">Tabela54[[#This Row],[Kolumna12]]*12</f>
        <v>2400</v>
      </c>
      <c r="AH133" s="122" t="n">
        <f aca="false">Tabela54[[#This Row],[Kolumna222]]/1.59</f>
        <v>1509.43396226415</v>
      </c>
      <c r="AI133" s="119" t="n">
        <f aca="false">Tabela54[[#This Row],[Kolumna223]]*Tabela54[[#This Row],[Kolumna63]]</f>
        <v>452.830188679245</v>
      </c>
      <c r="AJ133" s="119"/>
      <c r="AK133" s="122" t="n">
        <f aca="false">Tabela54[[#This Row],[Kolumna34]]*12</f>
        <v>0</v>
      </c>
      <c r="AL133" s="122" t="n">
        <f aca="false">Tabela54[[#This Row],[Kolumna32]]/4.2</f>
        <v>0</v>
      </c>
      <c r="AM133" s="119" t="n">
        <f aca="false">Tabela54[[#This Row],[Kolumna322]]*Tabela54[[#This Row],[Kolumna63]]</f>
        <v>0</v>
      </c>
      <c r="AN133" s="122"/>
      <c r="AO133" s="122" t="n">
        <f aca="false">Tabela54[[#This Row],[Kolumna5]]*Tabela54[[#This Row],[Kolumna63]]</f>
        <v>0</v>
      </c>
      <c r="AP133" s="53" t="n">
        <v>0.3</v>
      </c>
      <c r="AQ133" s="29"/>
      <c r="AR133" s="29"/>
      <c r="AS133" s="29"/>
      <c r="AT133" s="29"/>
    </row>
    <row r="134" customFormat="false" ht="30" hidden="false" customHeight="true" outlineLevel="0" collapsed="false">
      <c r="A134" s="25" t="n">
        <v>127</v>
      </c>
      <c r="B134" s="27" t="s">
        <v>241</v>
      </c>
      <c r="C134" s="49" t="s">
        <v>248</v>
      </c>
      <c r="D134" s="134"/>
      <c r="E134" s="135" t="n">
        <v>160</v>
      </c>
      <c r="F13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165.5649</v>
      </c>
      <c r="G134" s="135"/>
      <c r="H134" s="130"/>
      <c r="I134" s="26" t="n">
        <f aca="false">Tabela43[[#This Row],[Kolumna5]]*20700*0.27778</f>
        <v>0</v>
      </c>
      <c r="J134" s="130"/>
      <c r="K134" s="130"/>
      <c r="L134" s="28" t="n">
        <f aca="false">Tabela43[[#This Row],[Kolumna8]]*0.000843882*40190*0.27778</f>
        <v>0</v>
      </c>
      <c r="M134" s="130" t="n">
        <f aca="false">500*12</f>
        <v>6000</v>
      </c>
      <c r="N134" s="146" t="n">
        <f aca="false">Tabela43[[#This Row],[Kolumna84]]/2.55</f>
        <v>2352.94117647059</v>
      </c>
      <c r="O134" s="28" t="n">
        <f aca="false">Tabela43[[#This Row],[Kolumna82]]*35.94*0.27778</f>
        <v>23490.384</v>
      </c>
      <c r="P134" s="130"/>
      <c r="Q134" s="130"/>
      <c r="R134" s="130"/>
      <c r="S134" s="116" t="n">
        <f aca="false">Tabela43[[#This Row],[Kolumna92]]*0.65</f>
        <v>0</v>
      </c>
      <c r="T134" s="28" t="n">
        <f aca="false">Tabela43[[#This Row],[Kolumna10]]*15600*0.27778</f>
        <v>0</v>
      </c>
      <c r="U134" s="130"/>
      <c r="V134" s="130"/>
      <c r="W134" s="130"/>
      <c r="X134" s="130" t="n">
        <v>250</v>
      </c>
      <c r="Y134" s="130" t="n">
        <f aca="false">Tabela43[[#This Row],[Kolumna1223]]*12</f>
        <v>3000</v>
      </c>
      <c r="Z134" s="28" t="n">
        <f aca="false">Tabela43[[#This Row],[Kolumna123]]/0.55</f>
        <v>5454.54545454545</v>
      </c>
      <c r="AA134" s="130"/>
      <c r="AB134" s="130"/>
      <c r="AC134" s="125" t="n">
        <f aca="false">Tabela54[[#This Row],[Kolumna22]]*12</f>
        <v>0</v>
      </c>
      <c r="AD134" s="122" t="n">
        <f aca="false">Tabela54[[#This Row],[Kolumna3]]/4.44</f>
        <v>0</v>
      </c>
      <c r="AE134" s="120" t="n">
        <f aca="false">Tabela54[[#This Row],[Kolumna23]]*Tabela54[[#This Row],[Kolumna63]]</f>
        <v>0</v>
      </c>
      <c r="AF134" s="120"/>
      <c r="AG134" s="122" t="n">
        <f aca="false">Tabela54[[#This Row],[Kolumna12]]*12</f>
        <v>0</v>
      </c>
      <c r="AH134" s="122" t="n">
        <f aca="false">Tabela54[[#This Row],[Kolumna222]]/1.59</f>
        <v>0</v>
      </c>
      <c r="AI134" s="119" t="n">
        <f aca="false">Tabela54[[#This Row],[Kolumna223]]*Tabela54[[#This Row],[Kolumna63]]</f>
        <v>0</v>
      </c>
      <c r="AJ134" s="119" t="n">
        <v>400</v>
      </c>
      <c r="AK134" s="122" t="n">
        <f aca="false">Tabela54[[#This Row],[Kolumna34]]*12</f>
        <v>4800</v>
      </c>
      <c r="AL134" s="122" t="n">
        <f aca="false">Tabela54[[#This Row],[Kolumna32]]/4.2</f>
        <v>1142.85714285714</v>
      </c>
      <c r="AM134" s="119" t="n">
        <f aca="false">Tabela54[[#This Row],[Kolumna322]]*Tabela54[[#This Row],[Kolumna63]]</f>
        <v>342.857142857143</v>
      </c>
      <c r="AN134" s="122"/>
      <c r="AO134" s="122" t="n">
        <f aca="false">Tabela54[[#This Row],[Kolumna5]]*Tabela54[[#This Row],[Kolumna63]]</f>
        <v>0</v>
      </c>
      <c r="AP134" s="53" t="n">
        <v>0.3</v>
      </c>
      <c r="AQ134" s="29"/>
      <c r="AR134" s="29"/>
      <c r="AS134" s="29"/>
      <c r="AT134" s="29"/>
    </row>
    <row r="135" customFormat="false" ht="30" hidden="false" customHeight="true" outlineLevel="0" collapsed="false">
      <c r="A135" s="40" t="n">
        <v>128</v>
      </c>
      <c r="B135" s="27" t="s">
        <v>241</v>
      </c>
      <c r="C135" s="49" t="s">
        <v>248</v>
      </c>
      <c r="D135" s="134"/>
      <c r="E135" s="135" t="n">
        <v>120</v>
      </c>
      <c r="F13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298.64115</v>
      </c>
      <c r="G135" s="135"/>
      <c r="H135" s="130" t="n">
        <v>1</v>
      </c>
      <c r="I135" s="26" t="n">
        <f aca="false">Tabela43[[#This Row],[Kolumna5]]*20700*0.27778</f>
        <v>5750.046</v>
      </c>
      <c r="J135" s="130"/>
      <c r="K135" s="130"/>
      <c r="L135" s="28" t="n">
        <f aca="false">Tabela43[[#This Row],[Kolumna8]]*0.000843882*40190*0.27778</f>
        <v>0</v>
      </c>
      <c r="M135" s="130"/>
      <c r="N135" s="146" t="n">
        <f aca="false">Tabela43[[#This Row],[Kolumna84]]/2.55</f>
        <v>0</v>
      </c>
      <c r="O135" s="28" t="n">
        <f aca="false">Tabela43[[#This Row],[Kolumna82]]*35.94*0.27778</f>
        <v>0</v>
      </c>
      <c r="P135" s="130"/>
      <c r="Q135" s="130"/>
      <c r="R135" s="130" t="n">
        <v>10</v>
      </c>
      <c r="S135" s="116" t="n">
        <f aca="false">Tabela43[[#This Row],[Kolumna92]]*0.65</f>
        <v>6.5</v>
      </c>
      <c r="T135" s="28" t="n">
        <f aca="false">Tabela43[[#This Row],[Kolumna10]]*15600*0.27778</f>
        <v>28166.892</v>
      </c>
      <c r="U135" s="130"/>
      <c r="V135" s="130"/>
      <c r="W135" s="130"/>
      <c r="X135" s="130" t="n">
        <v>160</v>
      </c>
      <c r="Y135" s="130" t="n">
        <f aca="false">Tabela43[[#This Row],[Kolumna1223]]*12</f>
        <v>1920</v>
      </c>
      <c r="Z135" s="28" t="n">
        <f aca="false">Tabela43[[#This Row],[Kolumna123]]/0.55</f>
        <v>3490.90909090909</v>
      </c>
      <c r="AA135" s="130"/>
      <c r="AB135" s="130"/>
      <c r="AC135" s="125" t="n">
        <f aca="false">Tabela54[[#This Row],[Kolumna22]]*12</f>
        <v>0</v>
      </c>
      <c r="AD135" s="122" t="n">
        <f aca="false">Tabela54[[#This Row],[Kolumna3]]/4.44</f>
        <v>0</v>
      </c>
      <c r="AE135" s="120" t="n">
        <f aca="false">Tabela54[[#This Row],[Kolumna23]]*Tabela54[[#This Row],[Kolumna63]]</f>
        <v>0</v>
      </c>
      <c r="AF135" s="120"/>
      <c r="AG135" s="122" t="n">
        <f aca="false">Tabela54[[#This Row],[Kolumna12]]*12</f>
        <v>0</v>
      </c>
      <c r="AH135" s="122" t="n">
        <f aca="false">Tabela54[[#This Row],[Kolumna222]]/1.59</f>
        <v>0</v>
      </c>
      <c r="AI135" s="119" t="n">
        <f aca="false">Tabela54[[#This Row],[Kolumna223]]*Tabela54[[#This Row],[Kolumna63]]</f>
        <v>0</v>
      </c>
      <c r="AJ135" s="119" t="n">
        <v>200</v>
      </c>
      <c r="AK135" s="122" t="n">
        <f aca="false">Tabela54[[#This Row],[Kolumna34]]*12</f>
        <v>2400</v>
      </c>
      <c r="AL135" s="122" t="n">
        <f aca="false">Tabela54[[#This Row],[Kolumna32]]/4.2</f>
        <v>571.428571428571</v>
      </c>
      <c r="AM135" s="119" t="n">
        <f aca="false">Tabela54[[#This Row],[Kolumna322]]*Tabela54[[#This Row],[Kolumna63]]</f>
        <v>57.1428571428571</v>
      </c>
      <c r="AN135" s="122"/>
      <c r="AO135" s="122" t="n">
        <f aca="false">Tabela54[[#This Row],[Kolumna5]]*Tabela54[[#This Row],[Kolumna63]]</f>
        <v>0</v>
      </c>
      <c r="AP135" s="53" t="n">
        <v>0.1</v>
      </c>
      <c r="AQ135" s="29"/>
      <c r="AR135" s="29"/>
      <c r="AS135" s="29"/>
      <c r="AT135" s="29"/>
    </row>
    <row r="136" customFormat="false" ht="30" hidden="false" customHeight="true" outlineLevel="0" collapsed="false">
      <c r="A136" s="25" t="n">
        <v>129</v>
      </c>
      <c r="B136" s="27" t="s">
        <v>241</v>
      </c>
      <c r="C136" s="49" t="s">
        <v>248</v>
      </c>
      <c r="D136" s="134"/>
      <c r="E136" s="135" t="n">
        <v>120</v>
      </c>
      <c r="F13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298.61338</v>
      </c>
      <c r="G136" s="135"/>
      <c r="H136" s="130" t="n">
        <v>2</v>
      </c>
      <c r="I136" s="26" t="n">
        <f aca="false">Tabela43[[#This Row],[Kolumna5]]*20700*0.27778</f>
        <v>11500.092</v>
      </c>
      <c r="J136" s="130"/>
      <c r="K136" s="130"/>
      <c r="L136" s="28" t="n">
        <f aca="false">Tabela43[[#This Row],[Kolumna8]]*0.000843882*40190*0.27778</f>
        <v>0</v>
      </c>
      <c r="M136" s="130"/>
      <c r="N136" s="146" t="n">
        <f aca="false">Tabela43[[#This Row],[Kolumna84]]/2.55</f>
        <v>0</v>
      </c>
      <c r="O136" s="28" t="n">
        <f aca="false">Tabela43[[#This Row],[Kolumna82]]*35.94*0.27778</f>
        <v>0</v>
      </c>
      <c r="P136" s="130"/>
      <c r="Q136" s="130"/>
      <c r="R136" s="130" t="n">
        <v>8</v>
      </c>
      <c r="S136" s="116" t="n">
        <f aca="false">Tabela43[[#This Row],[Kolumna92]]*0.65</f>
        <v>5.2</v>
      </c>
      <c r="T136" s="28" t="n">
        <f aca="false">Tabela43[[#This Row],[Kolumna10]]*15600*0.27778</f>
        <v>22533.5136</v>
      </c>
      <c r="U136" s="130"/>
      <c r="V136" s="130"/>
      <c r="W136" s="130"/>
      <c r="X136" s="130" t="n">
        <v>150</v>
      </c>
      <c r="Y136" s="130" t="n">
        <f aca="false">Tabela43[[#This Row],[Kolumna1223]]*12</f>
        <v>1800</v>
      </c>
      <c r="Z136" s="28" t="n">
        <f aca="false">Tabela43[[#This Row],[Kolumna123]]/0.55</f>
        <v>3272.72727272727</v>
      </c>
      <c r="AA136" s="130"/>
      <c r="AB136" s="130" t="n">
        <v>300</v>
      </c>
      <c r="AC136" s="125" t="n">
        <f aca="false">Tabela54[[#This Row],[Kolumna22]]*12</f>
        <v>3600</v>
      </c>
      <c r="AD136" s="122" t="n">
        <f aca="false">Tabela54[[#This Row],[Kolumna3]]/4.44</f>
        <v>810.810810810811</v>
      </c>
      <c r="AE136" s="120" t="n">
        <f aca="false">Tabela54[[#This Row],[Kolumna23]]*Tabela54[[#This Row],[Kolumna63]]</f>
        <v>162.162162162162</v>
      </c>
      <c r="AF136" s="120" t="n">
        <v>100</v>
      </c>
      <c r="AG136" s="122" t="n">
        <f aca="false">Tabela54[[#This Row],[Kolumna12]]*12</f>
        <v>1200</v>
      </c>
      <c r="AH136" s="122" t="n">
        <f aca="false">Tabela54[[#This Row],[Kolumna222]]/1.59</f>
        <v>754.716981132076</v>
      </c>
      <c r="AI136" s="119" t="n">
        <f aca="false">Tabela54[[#This Row],[Kolumna223]]*Tabela54[[#This Row],[Kolumna63]]</f>
        <v>150.943396226415</v>
      </c>
      <c r="AJ136" s="119"/>
      <c r="AK136" s="122" t="n">
        <f aca="false">Tabela54[[#This Row],[Kolumna34]]*12</f>
        <v>0</v>
      </c>
      <c r="AL136" s="122" t="n">
        <f aca="false">Tabela54[[#This Row],[Kolumna32]]/4.2</f>
        <v>0</v>
      </c>
      <c r="AM136" s="119" t="n">
        <f aca="false">Tabela54[[#This Row],[Kolumna322]]*Tabela54[[#This Row],[Kolumna63]]</f>
        <v>0</v>
      </c>
      <c r="AN136" s="122"/>
      <c r="AO136" s="122" t="n">
        <f aca="false">Tabela54[[#This Row],[Kolumna5]]*Tabela54[[#This Row],[Kolumna63]]</f>
        <v>0</v>
      </c>
      <c r="AP136" s="53" t="n">
        <v>0.2</v>
      </c>
      <c r="AQ136" s="29"/>
      <c r="AR136" s="29"/>
      <c r="AS136" s="29"/>
      <c r="AT136" s="29"/>
    </row>
    <row r="137" customFormat="false" ht="30" hidden="false" customHeight="true" outlineLevel="0" collapsed="false">
      <c r="A137" s="25" t="n">
        <v>130</v>
      </c>
      <c r="B137" s="27" t="s">
        <v>241</v>
      </c>
      <c r="C137" s="49" t="s">
        <v>248</v>
      </c>
      <c r="D137" s="134"/>
      <c r="E137" s="135" t="n">
        <v>80</v>
      </c>
      <c r="F13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367.83615</v>
      </c>
      <c r="G137" s="135"/>
      <c r="H137" s="130"/>
      <c r="I137" s="26" t="n">
        <f aca="false">Tabela43[[#This Row],[Kolumna5]]*20700*0.27778</f>
        <v>0</v>
      </c>
      <c r="J137" s="130"/>
      <c r="K137" s="130"/>
      <c r="L137" s="28" t="n">
        <f aca="false">Tabela43[[#This Row],[Kolumna8]]*0.000843882*40190*0.27778</f>
        <v>0</v>
      </c>
      <c r="M137" s="130"/>
      <c r="N137" s="146" t="n">
        <f aca="false">Tabela43[[#This Row],[Kolumna84]]/2.55</f>
        <v>0</v>
      </c>
      <c r="O137" s="28" t="n">
        <f aca="false">Tabela43[[#This Row],[Kolumna82]]*35.94*0.27778</f>
        <v>0</v>
      </c>
      <c r="P137" s="130" t="n">
        <v>7</v>
      </c>
      <c r="Q137" s="130"/>
      <c r="R137" s="130" t="n">
        <v>10</v>
      </c>
      <c r="S137" s="116" t="n">
        <f aca="false">Tabela43[[#This Row],[Kolumna92]]*0.65</f>
        <v>6.5</v>
      </c>
      <c r="T137" s="28" t="n">
        <f aca="false">Tabela43[[#This Row],[Kolumna10]]*15600*0.27778</f>
        <v>28166.892</v>
      </c>
      <c r="U137" s="130"/>
      <c r="V137" s="130"/>
      <c r="W137" s="130"/>
      <c r="X137" s="130" t="n">
        <v>105</v>
      </c>
      <c r="Y137" s="130" t="n">
        <f aca="false">Tabela43[[#This Row],[Kolumna1223]]*12</f>
        <v>1260</v>
      </c>
      <c r="Z137" s="28" t="n">
        <f aca="false">Tabela43[[#This Row],[Kolumna123]]/0.55</f>
        <v>2290.90909090909</v>
      </c>
      <c r="AA137" s="130"/>
      <c r="AB137" s="130" t="n">
        <v>200</v>
      </c>
      <c r="AC137" s="125" t="n">
        <f aca="false">Tabela54[[#This Row],[Kolumna22]]*12</f>
        <v>2400</v>
      </c>
      <c r="AD137" s="122" t="n">
        <f aca="false">Tabela54[[#This Row],[Kolumna3]]/4.44</f>
        <v>540.540540540541</v>
      </c>
      <c r="AE137" s="120" t="n">
        <f aca="false">Tabela54[[#This Row],[Kolumna23]]*Tabela54[[#This Row],[Kolumna63]]</f>
        <v>108.108108108108</v>
      </c>
      <c r="AF137" s="120"/>
      <c r="AG137" s="122" t="n">
        <f aca="false">Tabela54[[#This Row],[Kolumna12]]*12</f>
        <v>0</v>
      </c>
      <c r="AH137" s="122" t="n">
        <f aca="false">Tabela54[[#This Row],[Kolumna222]]/1.59</f>
        <v>0</v>
      </c>
      <c r="AI137" s="119" t="n">
        <f aca="false">Tabela54[[#This Row],[Kolumna223]]*Tabela54[[#This Row],[Kolumna63]]</f>
        <v>0</v>
      </c>
      <c r="AJ137" s="119"/>
      <c r="AK137" s="122" t="n">
        <f aca="false">Tabela54[[#This Row],[Kolumna34]]*12</f>
        <v>0</v>
      </c>
      <c r="AL137" s="122" t="n">
        <f aca="false">Tabela54[[#This Row],[Kolumna32]]/4.2</f>
        <v>0</v>
      </c>
      <c r="AM137" s="119" t="n">
        <f aca="false">Tabela54[[#This Row],[Kolumna322]]*Tabela54[[#This Row],[Kolumna63]]</f>
        <v>0</v>
      </c>
      <c r="AN137" s="122"/>
      <c r="AO137" s="122" t="n">
        <f aca="false">Tabela54[[#This Row],[Kolumna5]]*Tabela54[[#This Row],[Kolumna63]]</f>
        <v>0</v>
      </c>
      <c r="AP137" s="53" t="n">
        <v>0.2</v>
      </c>
      <c r="AQ137" s="29"/>
      <c r="AR137" s="29"/>
      <c r="AS137" s="29"/>
      <c r="AT137" s="29"/>
    </row>
    <row r="138" customFormat="false" ht="30" hidden="false" customHeight="true" outlineLevel="0" collapsed="false">
      <c r="A138" s="40" t="n">
        <v>131</v>
      </c>
      <c r="B138" s="27" t="s">
        <v>241</v>
      </c>
      <c r="C138" s="49" t="s">
        <v>248</v>
      </c>
      <c r="D138" s="134"/>
      <c r="E138" s="135" t="n">
        <v>100</v>
      </c>
      <c r="F13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243.235164</v>
      </c>
      <c r="G138" s="135"/>
      <c r="H138" s="130" t="n">
        <v>3</v>
      </c>
      <c r="I138" s="26" t="n">
        <f aca="false">Tabela43[[#This Row],[Kolumna5]]*20700*0.27778</f>
        <v>17250.138</v>
      </c>
      <c r="J138" s="130"/>
      <c r="K138" s="130"/>
      <c r="L138" s="28" t="n">
        <f aca="false">Tabela43[[#This Row],[Kolumna8]]*0.000843882*40190*0.27778</f>
        <v>0</v>
      </c>
      <c r="M138" s="130"/>
      <c r="N138" s="146" t="n">
        <f aca="false">Tabela43[[#This Row],[Kolumna84]]/2.55</f>
        <v>0</v>
      </c>
      <c r="O138" s="28" t="n">
        <f aca="false">Tabela43[[#This Row],[Kolumna82]]*35.94*0.27778</f>
        <v>0</v>
      </c>
      <c r="P138" s="130"/>
      <c r="Q138" s="130"/>
      <c r="R138" s="130" t="n">
        <v>2</v>
      </c>
      <c r="S138" s="116" t="n">
        <f aca="false">Tabela43[[#This Row],[Kolumna92]]*0.65</f>
        <v>1.3</v>
      </c>
      <c r="T138" s="28" t="n">
        <f aca="false">Tabela43[[#This Row],[Kolumna10]]*15600*0.27778</f>
        <v>5633.3784</v>
      </c>
      <c r="U138" s="130"/>
      <c r="V138" s="130"/>
      <c r="W138" s="130"/>
      <c r="X138" s="130" t="n">
        <v>120</v>
      </c>
      <c r="Y138" s="130" t="n">
        <f aca="false">Tabela43[[#This Row],[Kolumna1223]]*12</f>
        <v>1440</v>
      </c>
      <c r="Z138" s="28" t="n">
        <f aca="false">Tabela43[[#This Row],[Kolumna123]]/0.55</f>
        <v>2618.18181818182</v>
      </c>
      <c r="AA138" s="130"/>
      <c r="AB138" s="130" t="n">
        <v>300</v>
      </c>
      <c r="AC138" s="125" t="n">
        <f aca="false">Tabela54[[#This Row],[Kolumna22]]*12</f>
        <v>3600</v>
      </c>
      <c r="AD138" s="122" t="n">
        <f aca="false">Tabela54[[#This Row],[Kolumna3]]/4.44</f>
        <v>810.810810810811</v>
      </c>
      <c r="AE138" s="120" t="n">
        <f aca="false">Tabela54[[#This Row],[Kolumna23]]*Tabela54[[#This Row],[Kolumna63]]</f>
        <v>243.243243243243</v>
      </c>
      <c r="AF138" s="120"/>
      <c r="AG138" s="122" t="n">
        <f aca="false">Tabela54[[#This Row],[Kolumna12]]*12</f>
        <v>0</v>
      </c>
      <c r="AH138" s="122" t="n">
        <f aca="false">Tabela54[[#This Row],[Kolumna222]]/1.59</f>
        <v>0</v>
      </c>
      <c r="AI138" s="119" t="n">
        <f aca="false">Tabela54[[#This Row],[Kolumna223]]*Tabela54[[#This Row],[Kolumna63]]</f>
        <v>0</v>
      </c>
      <c r="AJ138" s="119"/>
      <c r="AK138" s="122" t="n">
        <f aca="false">Tabela54[[#This Row],[Kolumna34]]*12</f>
        <v>0</v>
      </c>
      <c r="AL138" s="122" t="n">
        <f aca="false">Tabela54[[#This Row],[Kolumna32]]/4.2</f>
        <v>0</v>
      </c>
      <c r="AM138" s="119" t="n">
        <f aca="false">Tabela54[[#This Row],[Kolumna322]]*Tabela54[[#This Row],[Kolumna63]]</f>
        <v>0</v>
      </c>
      <c r="AN138" s="122"/>
      <c r="AO138" s="122" t="n">
        <f aca="false">Tabela54[[#This Row],[Kolumna5]]*Tabela54[[#This Row],[Kolumna63]]</f>
        <v>0</v>
      </c>
      <c r="AP138" s="53" t="n">
        <v>0.3</v>
      </c>
      <c r="AQ138" s="29"/>
      <c r="AR138" s="29"/>
      <c r="AS138" s="29"/>
      <c r="AT138" s="29"/>
    </row>
    <row r="139" customFormat="false" ht="30" hidden="false" customHeight="true" outlineLevel="0" collapsed="false">
      <c r="A139" s="25" t="n">
        <v>132</v>
      </c>
      <c r="B139" s="27" t="s">
        <v>241</v>
      </c>
      <c r="C139" s="49" t="s">
        <v>248</v>
      </c>
      <c r="D139" s="134"/>
      <c r="E139" s="135" t="n">
        <v>120</v>
      </c>
      <c r="F13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139" s="135"/>
      <c r="H139" s="130" t="n">
        <v>2</v>
      </c>
      <c r="I139" s="26" t="n">
        <f aca="false">Tabela43[[#This Row],[Kolumna5]]*20700*0.27778</f>
        <v>11500.092</v>
      </c>
      <c r="J139" s="130"/>
      <c r="K139" s="130"/>
      <c r="L139" s="28" t="n">
        <f aca="false">Tabela43[[#This Row],[Kolumna8]]*0.000843882*40190*0.27778</f>
        <v>0</v>
      </c>
      <c r="M139" s="130"/>
      <c r="N139" s="146" t="n">
        <f aca="false">Tabela43[[#This Row],[Kolumna84]]/2.55</f>
        <v>0</v>
      </c>
      <c r="O139" s="28" t="n">
        <f aca="false">Tabela43[[#This Row],[Kolumna82]]*35.94*0.27778</f>
        <v>0</v>
      </c>
      <c r="P139" s="130"/>
      <c r="Q139" s="130"/>
      <c r="R139" s="130" t="n">
        <v>10</v>
      </c>
      <c r="S139" s="116" t="n">
        <f aca="false">Tabela43[[#This Row],[Kolumna92]]*0.65</f>
        <v>6.5</v>
      </c>
      <c r="T139" s="28" t="n">
        <f aca="false">Tabela43[[#This Row],[Kolumna10]]*15600*0.27778</f>
        <v>28166.892</v>
      </c>
      <c r="U139" s="130"/>
      <c r="V139" s="130"/>
      <c r="W139" s="130"/>
      <c r="X139" s="130" t="n">
        <v>120</v>
      </c>
      <c r="Y139" s="130" t="n">
        <f aca="false">Tabela43[[#This Row],[Kolumna1223]]*12</f>
        <v>1440</v>
      </c>
      <c r="Z139" s="28" t="n">
        <f aca="false">Tabela43[[#This Row],[Kolumna123]]/0.55</f>
        <v>2618.18181818182</v>
      </c>
      <c r="AA139" s="130"/>
      <c r="AB139" s="130" t="n">
        <v>200</v>
      </c>
      <c r="AC139" s="125" t="n">
        <f aca="false">Tabela54[[#This Row],[Kolumna22]]*12</f>
        <v>2400</v>
      </c>
      <c r="AD139" s="122" t="n">
        <f aca="false">Tabela54[[#This Row],[Kolumna3]]/4.44</f>
        <v>540.540540540541</v>
      </c>
      <c r="AE139" s="120" t="n">
        <f aca="false">Tabela54[[#This Row],[Kolumna23]]*Tabela54[[#This Row],[Kolumna63]]</f>
        <v>216.216216216216</v>
      </c>
      <c r="AF139" s="120" t="n">
        <v>200</v>
      </c>
      <c r="AG139" s="122" t="n">
        <f aca="false">Tabela54[[#This Row],[Kolumna12]]*12</f>
        <v>2400</v>
      </c>
      <c r="AH139" s="122" t="n">
        <f aca="false">Tabela54[[#This Row],[Kolumna222]]/1.59</f>
        <v>1509.43396226415</v>
      </c>
      <c r="AI139" s="119" t="n">
        <f aca="false">Tabela54[[#This Row],[Kolumna223]]*Tabela54[[#This Row],[Kolumna63]]</f>
        <v>603.77358490566</v>
      </c>
      <c r="AJ139" s="119"/>
      <c r="AK139" s="122" t="n">
        <f aca="false">Tabela54[[#This Row],[Kolumna34]]*12</f>
        <v>0</v>
      </c>
      <c r="AL139" s="122" t="n">
        <f aca="false">Tabela54[[#This Row],[Kolumna32]]/4.2</f>
        <v>0</v>
      </c>
      <c r="AM139" s="119" t="n">
        <f aca="false">Tabela54[[#This Row],[Kolumna322]]*Tabela54[[#This Row],[Kolumna63]]</f>
        <v>0</v>
      </c>
      <c r="AN139" s="122"/>
      <c r="AO139" s="122" t="n">
        <f aca="false">Tabela54[[#This Row],[Kolumna5]]*Tabela54[[#This Row],[Kolumna63]]</f>
        <v>0</v>
      </c>
      <c r="AP139" s="53" t="n">
        <v>0.4</v>
      </c>
      <c r="AQ139" s="29"/>
      <c r="AR139" s="29"/>
      <c r="AS139" s="29"/>
      <c r="AT139" s="29"/>
    </row>
    <row r="140" customFormat="false" ht="30" hidden="false" customHeight="true" outlineLevel="0" collapsed="false">
      <c r="A140" s="25" t="n">
        <v>133</v>
      </c>
      <c r="B140" s="27" t="s">
        <v>241</v>
      </c>
      <c r="C140" s="49" t="s">
        <v>248</v>
      </c>
      <c r="D140" s="134"/>
      <c r="E140" s="135" t="n">
        <v>120</v>
      </c>
      <c r="F14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210.7532</v>
      </c>
      <c r="G140" s="135"/>
      <c r="H140" s="130"/>
      <c r="I140" s="26" t="n">
        <f aca="false">Tabela43[[#This Row],[Kolumna5]]*20700*0.27778</f>
        <v>0</v>
      </c>
      <c r="J140" s="130"/>
      <c r="K140" s="130"/>
      <c r="L140" s="28" t="n">
        <f aca="false">Tabela43[[#This Row],[Kolumna8]]*0.000843882*40190*0.27778</f>
        <v>0</v>
      </c>
      <c r="M140" s="130" t="n">
        <f aca="false">500*12</f>
        <v>6000</v>
      </c>
      <c r="N140" s="146" t="n">
        <f aca="false">Tabela43[[#This Row],[Kolumna84]]/2.55</f>
        <v>2352.94117647059</v>
      </c>
      <c r="O140" s="28" t="n">
        <f aca="false">Tabela43[[#This Row],[Kolumna82]]*35.94*0.27778</f>
        <v>23490.384</v>
      </c>
      <c r="P140" s="130"/>
      <c r="Q140" s="130"/>
      <c r="R140" s="130"/>
      <c r="S140" s="116" t="n">
        <f aca="false">Tabela43[[#This Row],[Kolumna92]]*0.65</f>
        <v>0</v>
      </c>
      <c r="T140" s="28" t="n">
        <f aca="false">Tabela43[[#This Row],[Kolumna10]]*15600*0.27778</f>
        <v>0</v>
      </c>
      <c r="U140" s="130"/>
      <c r="V140" s="130"/>
      <c r="W140" s="130"/>
      <c r="X140" s="130" t="n">
        <v>150</v>
      </c>
      <c r="Y140" s="130" t="n">
        <f aca="false">Tabela43[[#This Row],[Kolumna1223]]*12</f>
        <v>1800</v>
      </c>
      <c r="Z140" s="28" t="n">
        <f aca="false">Tabela43[[#This Row],[Kolumna123]]/0.55</f>
        <v>3272.72727272727</v>
      </c>
      <c r="AA140" s="130"/>
      <c r="AB140" s="130" t="n">
        <v>400</v>
      </c>
      <c r="AC140" s="125" t="n">
        <f aca="false">Tabela54[[#This Row],[Kolumna22]]*12</f>
        <v>4800</v>
      </c>
      <c r="AD140" s="122" t="n">
        <f aca="false">Tabela54[[#This Row],[Kolumna3]]/4.44</f>
        <v>1081.08108108108</v>
      </c>
      <c r="AE140" s="120" t="n">
        <f aca="false">Tabela54[[#This Row],[Kolumna23]]*Tabela54[[#This Row],[Kolumna63]]</f>
        <v>324.324324324324</v>
      </c>
      <c r="AF140" s="120"/>
      <c r="AG140" s="122" t="n">
        <f aca="false">Tabela54[[#This Row],[Kolumna12]]*12</f>
        <v>0</v>
      </c>
      <c r="AH140" s="122" t="n">
        <f aca="false">Tabela54[[#This Row],[Kolumna222]]/1.59</f>
        <v>0</v>
      </c>
      <c r="AI140" s="119" t="n">
        <f aca="false">Tabela54[[#This Row],[Kolumna223]]*Tabela54[[#This Row],[Kolumna63]]</f>
        <v>0</v>
      </c>
      <c r="AJ140" s="119"/>
      <c r="AK140" s="122" t="n">
        <f aca="false">Tabela54[[#This Row],[Kolumna34]]*12</f>
        <v>0</v>
      </c>
      <c r="AL140" s="122" t="n">
        <f aca="false">Tabela54[[#This Row],[Kolumna32]]/4.2</f>
        <v>0</v>
      </c>
      <c r="AM140" s="119" t="n">
        <f aca="false">Tabela54[[#This Row],[Kolumna322]]*Tabela54[[#This Row],[Kolumna63]]</f>
        <v>0</v>
      </c>
      <c r="AN140" s="122"/>
      <c r="AO140" s="122" t="n">
        <f aca="false">Tabela54[[#This Row],[Kolumna5]]*Tabela54[[#This Row],[Kolumna63]]</f>
        <v>0</v>
      </c>
      <c r="AP140" s="53" t="n">
        <v>0.3</v>
      </c>
      <c r="AQ140" s="29"/>
      <c r="AR140" s="29"/>
      <c r="AS140" s="29"/>
      <c r="AT140" s="29"/>
    </row>
    <row r="141" customFormat="false" ht="30" hidden="false" customHeight="true" outlineLevel="0" collapsed="false">
      <c r="A141" s="40" t="n">
        <v>134</v>
      </c>
      <c r="B141" s="27" t="s">
        <v>241</v>
      </c>
      <c r="C141" s="49" t="s">
        <v>248</v>
      </c>
      <c r="D141" s="134"/>
      <c r="E141" s="135" t="n">
        <v>180</v>
      </c>
      <c r="F14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227.03856</v>
      </c>
      <c r="G141" s="135"/>
      <c r="H141" s="130" t="n">
        <v>4</v>
      </c>
      <c r="I141" s="26" t="n">
        <f aca="false">Tabela43[[#This Row],[Kolumna5]]*20700*0.27778</f>
        <v>23000.184</v>
      </c>
      <c r="J141" s="130"/>
      <c r="K141" s="130"/>
      <c r="L141" s="28" t="n">
        <f aca="false">Tabela43[[#This Row],[Kolumna8]]*0.000843882*40190*0.27778</f>
        <v>0</v>
      </c>
      <c r="M141" s="130"/>
      <c r="N141" s="146" t="n">
        <f aca="false">Tabela43[[#This Row],[Kolumna84]]/2.55</f>
        <v>0</v>
      </c>
      <c r="O141" s="28" t="n">
        <f aca="false">Tabela43[[#This Row],[Kolumna82]]*35.94*0.27778</f>
        <v>0</v>
      </c>
      <c r="P141" s="130"/>
      <c r="Q141" s="130"/>
      <c r="R141" s="130" t="n">
        <v>4</v>
      </c>
      <c r="S141" s="116" t="n">
        <f aca="false">Tabela43[[#This Row],[Kolumna92]]*0.65</f>
        <v>2.6</v>
      </c>
      <c r="T141" s="28" t="n">
        <f aca="false">Tabela43[[#This Row],[Kolumna10]]*15600*0.27778</f>
        <v>11266.7568</v>
      </c>
      <c r="U141" s="130" t="n">
        <v>3600</v>
      </c>
      <c r="V141" s="130"/>
      <c r="W141" s="130"/>
      <c r="X141" s="130" t="n">
        <v>250</v>
      </c>
      <c r="Y141" s="130" t="n">
        <f aca="false">Tabela43[[#This Row],[Kolumna1223]]*12</f>
        <v>3000</v>
      </c>
      <c r="Z141" s="28" t="n">
        <f aca="false">Tabela43[[#This Row],[Kolumna123]]/0.55</f>
        <v>5454.54545454545</v>
      </c>
      <c r="AA141" s="130"/>
      <c r="AB141" s="130"/>
      <c r="AC141" s="125" t="n">
        <f aca="false">Tabela54[[#This Row],[Kolumna22]]*12</f>
        <v>0</v>
      </c>
      <c r="AD141" s="122" t="n">
        <f aca="false">Tabela54[[#This Row],[Kolumna3]]/4.44</f>
        <v>0</v>
      </c>
      <c r="AE141" s="120" t="n">
        <f aca="false">Tabela54[[#This Row],[Kolumna23]]*Tabela54[[#This Row],[Kolumna63]]</f>
        <v>0</v>
      </c>
      <c r="AF141" s="120"/>
      <c r="AG141" s="122" t="n">
        <f aca="false">Tabela54[[#This Row],[Kolumna12]]*12</f>
        <v>0</v>
      </c>
      <c r="AH141" s="122" t="n">
        <f aca="false">Tabela54[[#This Row],[Kolumna222]]/1.59</f>
        <v>0</v>
      </c>
      <c r="AI141" s="119" t="n">
        <f aca="false">Tabela54[[#This Row],[Kolumna223]]*Tabela54[[#This Row],[Kolumna63]]</f>
        <v>0</v>
      </c>
      <c r="AJ141" s="119" t="n">
        <v>400</v>
      </c>
      <c r="AK141" s="122" t="n">
        <f aca="false">Tabela54[[#This Row],[Kolumna34]]*12</f>
        <v>4800</v>
      </c>
      <c r="AL141" s="122" t="n">
        <f aca="false">Tabela54[[#This Row],[Kolumna32]]/4.2</f>
        <v>1142.85714285714</v>
      </c>
      <c r="AM141" s="119" t="n">
        <f aca="false">Tabela54[[#This Row],[Kolumna322]]*Tabela54[[#This Row],[Kolumna63]]</f>
        <v>342.857142857143</v>
      </c>
      <c r="AN141" s="122"/>
      <c r="AO141" s="122" t="n">
        <f aca="false">Tabela54[[#This Row],[Kolumna5]]*Tabela54[[#This Row],[Kolumna63]]</f>
        <v>0</v>
      </c>
      <c r="AP141" s="53" t="n">
        <v>0.3</v>
      </c>
      <c r="AQ141" s="29"/>
      <c r="AR141" s="29"/>
      <c r="AS141" s="29"/>
      <c r="AT141" s="29"/>
    </row>
    <row r="142" customFormat="false" ht="30" hidden="false" customHeight="true" outlineLevel="0" collapsed="false">
      <c r="A142" s="25" t="n">
        <v>135</v>
      </c>
      <c r="B142" s="27" t="s">
        <v>241</v>
      </c>
      <c r="C142" s="49" t="s">
        <v>248</v>
      </c>
      <c r="D142" s="134"/>
      <c r="E142" s="135" t="n">
        <v>120</v>
      </c>
      <c r="F14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346.5582</v>
      </c>
      <c r="G142" s="135"/>
      <c r="H142" s="130" t="n">
        <v>2</v>
      </c>
      <c r="I142" s="26" t="n">
        <f aca="false">Tabela43[[#This Row],[Kolumna5]]*20700*0.27778</f>
        <v>11500.092</v>
      </c>
      <c r="J142" s="130"/>
      <c r="K142" s="130"/>
      <c r="L142" s="28" t="n">
        <f aca="false">Tabela43[[#This Row],[Kolumna8]]*0.000843882*40190*0.27778</f>
        <v>0</v>
      </c>
      <c r="M142" s="130"/>
      <c r="N142" s="146" t="n">
        <f aca="false">Tabela43[[#This Row],[Kolumna84]]/2.55</f>
        <v>0</v>
      </c>
      <c r="O142" s="28" t="n">
        <f aca="false">Tabela43[[#This Row],[Kolumna82]]*35.94*0.27778</f>
        <v>0</v>
      </c>
      <c r="P142" s="130"/>
      <c r="Q142" s="130"/>
      <c r="R142" s="130" t="n">
        <v>10</v>
      </c>
      <c r="S142" s="116" t="n">
        <f aca="false">Tabela43[[#This Row],[Kolumna92]]*0.65</f>
        <v>6.5</v>
      </c>
      <c r="T142" s="28" t="n">
        <f aca="false">Tabela43[[#This Row],[Kolumna10]]*15600*0.27778</f>
        <v>28166.892</v>
      </c>
      <c r="U142" s="130"/>
      <c r="V142" s="130"/>
      <c r="W142" s="130"/>
      <c r="X142" s="130" t="n">
        <v>160</v>
      </c>
      <c r="Y142" s="130" t="n">
        <f aca="false">Tabela43[[#This Row],[Kolumna1223]]*12</f>
        <v>1920</v>
      </c>
      <c r="Z142" s="28" t="n">
        <f aca="false">Tabela43[[#This Row],[Kolumna123]]/0.55</f>
        <v>3490.90909090909</v>
      </c>
      <c r="AA142" s="130"/>
      <c r="AB142" s="130"/>
      <c r="AC142" s="125" t="n">
        <f aca="false">Tabela54[[#This Row],[Kolumna22]]*12</f>
        <v>0</v>
      </c>
      <c r="AD142" s="122" t="n">
        <f aca="false">Tabela54[[#This Row],[Kolumna3]]/4.44</f>
        <v>0</v>
      </c>
      <c r="AE142" s="120" t="n">
        <f aca="false">Tabela54[[#This Row],[Kolumna23]]*Tabela54[[#This Row],[Kolumna63]]</f>
        <v>0</v>
      </c>
      <c r="AF142" s="120"/>
      <c r="AG142" s="122" t="n">
        <f aca="false">Tabela54[[#This Row],[Kolumna12]]*12</f>
        <v>0</v>
      </c>
      <c r="AH142" s="122" t="n">
        <f aca="false">Tabela54[[#This Row],[Kolumna222]]/1.59</f>
        <v>0</v>
      </c>
      <c r="AI142" s="119" t="n">
        <f aca="false">Tabela54[[#This Row],[Kolumna223]]*Tabela54[[#This Row],[Kolumna63]]</f>
        <v>0</v>
      </c>
      <c r="AJ142" s="119" t="n">
        <v>300</v>
      </c>
      <c r="AK142" s="122" t="n">
        <f aca="false">Tabela54[[#This Row],[Kolumna34]]*12</f>
        <v>3600</v>
      </c>
      <c r="AL142" s="122" t="n">
        <f aca="false">Tabela54[[#This Row],[Kolumna32]]/4.2</f>
        <v>857.142857142857</v>
      </c>
      <c r="AM142" s="119" t="n">
        <f aca="false">Tabela54[[#This Row],[Kolumna322]]*Tabela54[[#This Row],[Kolumna63]]</f>
        <v>171.428571428571</v>
      </c>
      <c r="AN142" s="122"/>
      <c r="AO142" s="122" t="n">
        <f aca="false">Tabela54[[#This Row],[Kolumna5]]*Tabela54[[#This Row],[Kolumna63]]</f>
        <v>0</v>
      </c>
      <c r="AP142" s="53" t="n">
        <v>0.2</v>
      </c>
      <c r="AQ142" s="29"/>
      <c r="AR142" s="29"/>
      <c r="AS142" s="29"/>
      <c r="AT142" s="29"/>
    </row>
    <row r="143" customFormat="false" ht="30" hidden="false" customHeight="true" outlineLevel="0" collapsed="false">
      <c r="A143" s="25" t="n">
        <v>136</v>
      </c>
      <c r="B143" s="27" t="s">
        <v>241</v>
      </c>
      <c r="C143" s="49" t="s">
        <v>249</v>
      </c>
      <c r="D143" s="134"/>
      <c r="E143" s="135" t="n">
        <v>160</v>
      </c>
      <c r="F14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296.66892</v>
      </c>
      <c r="G143" s="135"/>
      <c r="H143" s="130"/>
      <c r="I143" s="26" t="n">
        <f aca="false">Tabela43[[#This Row],[Kolumna5]]*20700*0.27778</f>
        <v>0</v>
      </c>
      <c r="J143" s="130"/>
      <c r="K143" s="130"/>
      <c r="L143" s="28" t="n">
        <f aca="false">Tabela43[[#This Row],[Kolumna8]]*0.000843882*40190*0.27778</f>
        <v>0</v>
      </c>
      <c r="M143" s="130"/>
      <c r="N143" s="146" t="n">
        <f aca="false">Tabela43[[#This Row],[Kolumna84]]/2.55</f>
        <v>0</v>
      </c>
      <c r="O143" s="28" t="n">
        <f aca="false">Tabela43[[#This Row],[Kolumna82]]*35.94*0.27778</f>
        <v>0</v>
      </c>
      <c r="P143" s="130"/>
      <c r="Q143" s="130"/>
      <c r="R143" s="130" t="n">
        <v>16</v>
      </c>
      <c r="S143" s="116" t="n">
        <f aca="false">Tabela43[[#This Row],[Kolumna92]]*0.65</f>
        <v>10.4</v>
      </c>
      <c r="T143" s="28" t="n">
        <f aca="false">Tabela43[[#This Row],[Kolumna10]]*15600*0.27778</f>
        <v>45067.0272</v>
      </c>
      <c r="U143" s="130"/>
      <c r="V143" s="130"/>
      <c r="W143" s="130"/>
      <c r="X143" s="130" t="n">
        <v>200</v>
      </c>
      <c r="Y143" s="130" t="n">
        <f aca="false">Tabela43[[#This Row],[Kolumna1223]]*12</f>
        <v>2400</v>
      </c>
      <c r="Z143" s="28" t="n">
        <f aca="false">Tabela43[[#This Row],[Kolumna123]]/0.55</f>
        <v>4363.63636363636</v>
      </c>
      <c r="AA143" s="130"/>
      <c r="AB143" s="130" t="n">
        <v>400</v>
      </c>
      <c r="AC143" s="125" t="n">
        <f aca="false">Tabela54[[#This Row],[Kolumna22]]*12</f>
        <v>4800</v>
      </c>
      <c r="AD143" s="122" t="n">
        <f aca="false">Tabela54[[#This Row],[Kolumna3]]/4.44</f>
        <v>1081.08108108108</v>
      </c>
      <c r="AE143" s="120" t="n">
        <f aca="false">Tabela54[[#This Row],[Kolumna23]]*Tabela54[[#This Row],[Kolumna63]]</f>
        <v>432.432432432432</v>
      </c>
      <c r="AF143" s="120"/>
      <c r="AG143" s="122" t="n">
        <f aca="false">Tabela54[[#This Row],[Kolumna12]]*12</f>
        <v>0</v>
      </c>
      <c r="AH143" s="122" t="n">
        <f aca="false">Tabela54[[#This Row],[Kolumna222]]/1.59</f>
        <v>0</v>
      </c>
      <c r="AI143" s="119" t="n">
        <f aca="false">Tabela54[[#This Row],[Kolumna223]]*Tabela54[[#This Row],[Kolumna63]]</f>
        <v>0</v>
      </c>
      <c r="AJ143" s="119"/>
      <c r="AK143" s="122" t="n">
        <f aca="false">Tabela54[[#This Row],[Kolumna34]]*12</f>
        <v>0</v>
      </c>
      <c r="AL143" s="122" t="n">
        <f aca="false">Tabela54[[#This Row],[Kolumna32]]/4.2</f>
        <v>0</v>
      </c>
      <c r="AM143" s="119" t="n">
        <f aca="false">Tabela54[[#This Row],[Kolumna322]]*Tabela54[[#This Row],[Kolumna63]]</f>
        <v>0</v>
      </c>
      <c r="AN143" s="122"/>
      <c r="AO143" s="122" t="n">
        <f aca="false">Tabela54[[#This Row],[Kolumna5]]*Tabela54[[#This Row],[Kolumna63]]</f>
        <v>0</v>
      </c>
      <c r="AP143" s="53" t="n">
        <v>0.4</v>
      </c>
      <c r="AQ143" s="29"/>
      <c r="AR143" s="29"/>
      <c r="AS143" s="29"/>
      <c r="AT143" s="29"/>
    </row>
    <row r="144" customFormat="false" ht="30" hidden="false" customHeight="true" outlineLevel="0" collapsed="false">
      <c r="A144" s="40" t="n">
        <v>137</v>
      </c>
      <c r="B144" s="27" t="s">
        <v>241</v>
      </c>
      <c r="C144" s="49" t="s">
        <v>249</v>
      </c>
      <c r="D144" s="134"/>
      <c r="E144" s="135" t="n">
        <v>120</v>
      </c>
      <c r="F14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252.66856</v>
      </c>
      <c r="G144" s="135"/>
      <c r="H144" s="130" t="n">
        <v>2</v>
      </c>
      <c r="I144" s="26" t="n">
        <f aca="false">Tabela43[[#This Row],[Kolumna5]]*20700*0.27778</f>
        <v>11500.092</v>
      </c>
      <c r="J144" s="130"/>
      <c r="K144" s="130"/>
      <c r="L144" s="28" t="n">
        <f aca="false">Tabela43[[#This Row],[Kolumna8]]*0.000843882*40190*0.27778</f>
        <v>0</v>
      </c>
      <c r="M144" s="130"/>
      <c r="N144" s="146" t="n">
        <f aca="false">Tabela43[[#This Row],[Kolumna84]]/2.55</f>
        <v>0</v>
      </c>
      <c r="O144" s="28" t="n">
        <f aca="false">Tabela43[[#This Row],[Kolumna82]]*35.94*0.27778</f>
        <v>0</v>
      </c>
      <c r="P144" s="130"/>
      <c r="Q144" s="130"/>
      <c r="R144" s="130" t="n">
        <v>6</v>
      </c>
      <c r="S144" s="116" t="n">
        <f aca="false">Tabela43[[#This Row],[Kolumna92]]*0.65</f>
        <v>3.9</v>
      </c>
      <c r="T144" s="28" t="n">
        <f aca="false">Tabela43[[#This Row],[Kolumna10]]*15600*0.27778</f>
        <v>16900.1352</v>
      </c>
      <c r="U144" s="130"/>
      <c r="V144" s="130"/>
      <c r="W144" s="130"/>
      <c r="X144" s="130" t="n">
        <v>160</v>
      </c>
      <c r="Y144" s="130" t="n">
        <f aca="false">Tabela43[[#This Row],[Kolumna1223]]*12</f>
        <v>1920</v>
      </c>
      <c r="Z144" s="28" t="n">
        <f aca="false">Tabela43[[#This Row],[Kolumna123]]/0.55</f>
        <v>3490.90909090909</v>
      </c>
      <c r="AA144" s="130"/>
      <c r="AB144" s="130"/>
      <c r="AC144" s="125" t="n">
        <f aca="false">Tabela54[[#This Row],[Kolumna22]]*12</f>
        <v>0</v>
      </c>
      <c r="AD144" s="122" t="n">
        <f aca="false">Tabela54[[#This Row],[Kolumna3]]/4.44</f>
        <v>0</v>
      </c>
      <c r="AE144" s="120" t="n">
        <f aca="false">Tabela54[[#This Row],[Kolumna23]]*Tabela54[[#This Row],[Kolumna63]]</f>
        <v>0</v>
      </c>
      <c r="AF144" s="120"/>
      <c r="AG144" s="122" t="n">
        <f aca="false">Tabela54[[#This Row],[Kolumna12]]*12</f>
        <v>0</v>
      </c>
      <c r="AH144" s="122" t="n">
        <f aca="false">Tabela54[[#This Row],[Kolumna222]]/1.59</f>
        <v>0</v>
      </c>
      <c r="AI144" s="119" t="n">
        <f aca="false">Tabela54[[#This Row],[Kolumna223]]*Tabela54[[#This Row],[Kolumna63]]</f>
        <v>0</v>
      </c>
      <c r="AJ144" s="119" t="n">
        <v>400</v>
      </c>
      <c r="AK144" s="122" t="n">
        <f aca="false">Tabela54[[#This Row],[Kolumna34]]*12</f>
        <v>4800</v>
      </c>
      <c r="AL144" s="122" t="n">
        <f aca="false">Tabela54[[#This Row],[Kolumna32]]/4.2</f>
        <v>1142.85714285714</v>
      </c>
      <c r="AM144" s="119" t="n">
        <f aca="false">Tabela54[[#This Row],[Kolumna322]]*Tabela54[[#This Row],[Kolumna63]]</f>
        <v>342.857142857143</v>
      </c>
      <c r="AN144" s="122"/>
      <c r="AO144" s="122" t="n">
        <f aca="false">Tabela54[[#This Row],[Kolumna5]]*Tabela54[[#This Row],[Kolumna63]]</f>
        <v>0</v>
      </c>
      <c r="AP144" s="53" t="n">
        <v>0.3</v>
      </c>
      <c r="AQ144" s="29"/>
      <c r="AR144" s="29"/>
      <c r="AS144" s="29"/>
      <c r="AT144" s="29"/>
    </row>
    <row r="145" customFormat="false" ht="30" hidden="false" customHeight="true" outlineLevel="0" collapsed="false">
      <c r="A145" s="25" t="n">
        <v>138</v>
      </c>
      <c r="B145" s="27" t="s">
        <v>241</v>
      </c>
      <c r="C145" s="49" t="s">
        <v>249</v>
      </c>
      <c r="D145" s="134"/>
      <c r="E145" s="135" t="n">
        <v>80</v>
      </c>
      <c r="F14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367.35576</v>
      </c>
      <c r="G145" s="135"/>
      <c r="H145" s="130"/>
      <c r="I145" s="26" t="n">
        <f aca="false">Tabela43[[#This Row],[Kolumna5]]*20700*0.27778</f>
        <v>0</v>
      </c>
      <c r="J145" s="130"/>
      <c r="K145" s="130"/>
      <c r="L145" s="28" t="n">
        <f aca="false">Tabela43[[#This Row],[Kolumna8]]*0.000843882*40190*0.27778</f>
        <v>0</v>
      </c>
      <c r="M145" s="130" t="n">
        <f aca="false">600*12</f>
        <v>7200</v>
      </c>
      <c r="N145" s="146" t="n">
        <f aca="false">Tabela43[[#This Row],[Kolumna84]]/2.55</f>
        <v>2823.52941176471</v>
      </c>
      <c r="O145" s="28" t="n">
        <f aca="false">Tabela43[[#This Row],[Kolumna82]]*35.94*0.27778</f>
        <v>28188.4608</v>
      </c>
      <c r="P145" s="130"/>
      <c r="Q145" s="130"/>
      <c r="R145" s="130"/>
      <c r="S145" s="116" t="n">
        <f aca="false">Tabela43[[#This Row],[Kolumna92]]*0.65</f>
        <v>0</v>
      </c>
      <c r="T145" s="28" t="n">
        <f aca="false">Tabela43[[#This Row],[Kolumna10]]*15600*0.27778</f>
        <v>0</v>
      </c>
      <c r="U145" s="130"/>
      <c r="V145" s="130"/>
      <c r="W145" s="130"/>
      <c r="X145" s="130" t="n">
        <v>100</v>
      </c>
      <c r="Y145" s="130" t="n">
        <f aca="false">Tabela43[[#This Row],[Kolumna1223]]*12</f>
        <v>1200</v>
      </c>
      <c r="Z145" s="28" t="n">
        <f aca="false">Tabela43[[#This Row],[Kolumna123]]/0.55</f>
        <v>2181.81818181818</v>
      </c>
      <c r="AA145" s="130"/>
      <c r="AB145" s="130"/>
      <c r="AC145" s="125" t="n">
        <f aca="false">Tabela54[[#This Row],[Kolumna22]]*12</f>
        <v>0</v>
      </c>
      <c r="AD145" s="122" t="n">
        <f aca="false">Tabela54[[#This Row],[Kolumna3]]/4.44</f>
        <v>0</v>
      </c>
      <c r="AE145" s="120" t="n">
        <f aca="false">Tabela54[[#This Row],[Kolumna23]]*Tabela54[[#This Row],[Kolumna63]]</f>
        <v>0</v>
      </c>
      <c r="AF145" s="120"/>
      <c r="AG145" s="122" t="n">
        <f aca="false">Tabela54[[#This Row],[Kolumna12]]*12</f>
        <v>0</v>
      </c>
      <c r="AH145" s="122" t="n">
        <f aca="false">Tabela54[[#This Row],[Kolumna222]]/1.59</f>
        <v>0</v>
      </c>
      <c r="AI145" s="119" t="n">
        <f aca="false">Tabela54[[#This Row],[Kolumna223]]*Tabela54[[#This Row],[Kolumna63]]</f>
        <v>0</v>
      </c>
      <c r="AJ145" s="119" t="n">
        <v>300</v>
      </c>
      <c r="AK145" s="122" t="n">
        <f aca="false">Tabela54[[#This Row],[Kolumna34]]*12</f>
        <v>3600</v>
      </c>
      <c r="AL145" s="122" t="n">
        <f aca="false">Tabela54[[#This Row],[Kolumna32]]/4.2</f>
        <v>857.142857142857</v>
      </c>
      <c r="AM145" s="119" t="n">
        <f aca="false">Tabela54[[#This Row],[Kolumna322]]*Tabela54[[#This Row],[Kolumna63]]</f>
        <v>257.142857142857</v>
      </c>
      <c r="AN145" s="122"/>
      <c r="AO145" s="122" t="n">
        <f aca="false">Tabela54[[#This Row],[Kolumna5]]*Tabela54[[#This Row],[Kolumna63]]</f>
        <v>0</v>
      </c>
      <c r="AP145" s="53" t="n">
        <v>0.3</v>
      </c>
      <c r="AQ145" s="29"/>
      <c r="AR145" s="29"/>
      <c r="AS145" s="29"/>
      <c r="AT145" s="29"/>
    </row>
    <row r="146" customFormat="false" ht="30" hidden="false" customHeight="true" outlineLevel="0" collapsed="false">
      <c r="A146" s="25" t="n">
        <v>139</v>
      </c>
      <c r="B146" s="27" t="s">
        <v>241</v>
      </c>
      <c r="C146" s="49" t="s">
        <v>249</v>
      </c>
      <c r="D146" s="134"/>
      <c r="E146" s="135" t="n">
        <v>100</v>
      </c>
      <c r="F14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355.902732</v>
      </c>
      <c r="G146" s="135"/>
      <c r="H146" s="130" t="n">
        <v>3</v>
      </c>
      <c r="I146" s="26" t="n">
        <f aca="false">Tabela43[[#This Row],[Kolumna5]]*20700*0.27778</f>
        <v>17250.138</v>
      </c>
      <c r="J146" s="130"/>
      <c r="K146" s="130"/>
      <c r="L146" s="28" t="n">
        <f aca="false">Tabela43[[#This Row],[Kolumna8]]*0.000843882*40190*0.27778</f>
        <v>0</v>
      </c>
      <c r="M146" s="130"/>
      <c r="N146" s="146" t="n">
        <f aca="false">Tabela43[[#This Row],[Kolumna84]]/2.55</f>
        <v>0</v>
      </c>
      <c r="O146" s="28" t="n">
        <f aca="false">Tabela43[[#This Row],[Kolumna82]]*35.94*0.27778</f>
        <v>0</v>
      </c>
      <c r="P146" s="130"/>
      <c r="Q146" s="130"/>
      <c r="R146" s="130" t="n">
        <v>6</v>
      </c>
      <c r="S146" s="116" t="n">
        <f aca="false">Tabela43[[#This Row],[Kolumna92]]*0.65</f>
        <v>3.9</v>
      </c>
      <c r="T146" s="28" t="n">
        <f aca="false">Tabela43[[#This Row],[Kolumna10]]*15600*0.27778</f>
        <v>16900.1352</v>
      </c>
      <c r="U146" s="130"/>
      <c r="V146" s="130"/>
      <c r="W146" s="130"/>
      <c r="X146" s="130" t="n">
        <v>120</v>
      </c>
      <c r="Y146" s="130" t="n">
        <f aca="false">Tabela43[[#This Row],[Kolumna1223]]*12</f>
        <v>1440</v>
      </c>
      <c r="Z146" s="28" t="n">
        <f aca="false">Tabela43[[#This Row],[Kolumna123]]/0.55</f>
        <v>2618.18181818182</v>
      </c>
      <c r="AA146" s="130"/>
      <c r="AB146" s="130" t="n">
        <v>300</v>
      </c>
      <c r="AC146" s="125" t="n">
        <f aca="false">Tabela54[[#This Row],[Kolumna22]]*12</f>
        <v>3600</v>
      </c>
      <c r="AD146" s="122" t="n">
        <f aca="false">Tabela54[[#This Row],[Kolumna3]]/4.44</f>
        <v>810.810810810811</v>
      </c>
      <c r="AE146" s="120" t="n">
        <f aca="false">Tabela54[[#This Row],[Kolumna23]]*Tabela54[[#This Row],[Kolumna63]]</f>
        <v>162.162162162162</v>
      </c>
      <c r="AF146" s="120"/>
      <c r="AG146" s="122" t="n">
        <f aca="false">Tabela54[[#This Row],[Kolumna12]]*12</f>
        <v>0</v>
      </c>
      <c r="AH146" s="122" t="n">
        <f aca="false">Tabela54[[#This Row],[Kolumna222]]/1.59</f>
        <v>0</v>
      </c>
      <c r="AI146" s="119" t="n">
        <f aca="false">Tabela54[[#This Row],[Kolumna223]]*Tabela54[[#This Row],[Kolumna63]]</f>
        <v>0</v>
      </c>
      <c r="AJ146" s="119"/>
      <c r="AK146" s="122" t="n">
        <f aca="false">Tabela54[[#This Row],[Kolumna34]]*12</f>
        <v>0</v>
      </c>
      <c r="AL146" s="122" t="n">
        <f aca="false">Tabela54[[#This Row],[Kolumna32]]/4.2</f>
        <v>0</v>
      </c>
      <c r="AM146" s="119" t="n">
        <f aca="false">Tabela54[[#This Row],[Kolumna322]]*Tabela54[[#This Row],[Kolumna63]]</f>
        <v>0</v>
      </c>
      <c r="AN146" s="122"/>
      <c r="AO146" s="122" t="n">
        <f aca="false">Tabela54[[#This Row],[Kolumna5]]*Tabela54[[#This Row],[Kolumna63]]</f>
        <v>0</v>
      </c>
      <c r="AP146" s="53" t="n">
        <v>0.2</v>
      </c>
      <c r="AQ146" s="29"/>
      <c r="AR146" s="29"/>
      <c r="AS146" s="29"/>
      <c r="AT146" s="29"/>
    </row>
    <row r="147" customFormat="false" ht="30" hidden="false" customHeight="true" outlineLevel="0" collapsed="false">
      <c r="A147" s="40" t="n">
        <v>140</v>
      </c>
      <c r="B147" s="27" t="s">
        <v>241</v>
      </c>
      <c r="C147" s="49" t="s">
        <v>257</v>
      </c>
      <c r="D147" s="134"/>
      <c r="E147" s="135" t="n">
        <v>120</v>
      </c>
      <c r="F14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256.90384</v>
      </c>
      <c r="G147" s="135"/>
      <c r="H147" s="130"/>
      <c r="I147" s="26" t="n">
        <f aca="false">Tabela43[[#This Row],[Kolumna5]]*20700*0.27778</f>
        <v>0</v>
      </c>
      <c r="J147" s="130"/>
      <c r="K147" s="130"/>
      <c r="L147" s="28" t="n">
        <f aca="false">Tabela43[[#This Row],[Kolumna8]]*0.000843882*40190*0.27778</f>
        <v>0</v>
      </c>
      <c r="M147" s="130" t="n">
        <f aca="false">600*12</f>
        <v>7200</v>
      </c>
      <c r="N147" s="146" t="n">
        <f aca="false">Tabela43[[#This Row],[Kolumna84]]/2.55</f>
        <v>2823.52941176471</v>
      </c>
      <c r="O147" s="28" t="n">
        <f aca="false">Tabela43[[#This Row],[Kolumna82]]*35.94*0.27778</f>
        <v>28188.4608</v>
      </c>
      <c r="P147" s="130"/>
      <c r="Q147" s="130"/>
      <c r="R147" s="130"/>
      <c r="S147" s="116" t="n">
        <f aca="false">Tabela43[[#This Row],[Kolumna92]]*0.65</f>
        <v>0</v>
      </c>
      <c r="T147" s="28" t="n">
        <f aca="false">Tabela43[[#This Row],[Kolumna10]]*15600*0.27778</f>
        <v>0</v>
      </c>
      <c r="U147" s="130"/>
      <c r="V147" s="130"/>
      <c r="W147" s="130"/>
      <c r="X147" s="130" t="n">
        <v>220</v>
      </c>
      <c r="Y147" s="130" t="n">
        <f aca="false">Tabela43[[#This Row],[Kolumna1223]]*12</f>
        <v>2640</v>
      </c>
      <c r="Z147" s="28" t="n">
        <f aca="false">Tabela43[[#This Row],[Kolumna123]]/0.55</f>
        <v>4800</v>
      </c>
      <c r="AA147" s="130"/>
      <c r="AB147" s="130"/>
      <c r="AC147" s="125" t="n">
        <f aca="false">Tabela54[[#This Row],[Kolumna22]]*12</f>
        <v>0</v>
      </c>
      <c r="AD147" s="122" t="n">
        <f aca="false">Tabela54[[#This Row],[Kolumna3]]/4.44</f>
        <v>0</v>
      </c>
      <c r="AE147" s="120" t="n">
        <f aca="false">Tabela54[[#This Row],[Kolumna23]]*Tabela54[[#This Row],[Kolumna63]]</f>
        <v>0</v>
      </c>
      <c r="AF147" s="120"/>
      <c r="AG147" s="122" t="n">
        <f aca="false">Tabela54[[#This Row],[Kolumna12]]*12</f>
        <v>0</v>
      </c>
      <c r="AH147" s="122" t="n">
        <f aca="false">Tabela54[[#This Row],[Kolumna222]]/1.59</f>
        <v>0</v>
      </c>
      <c r="AI147" s="119" t="n">
        <f aca="false">Tabela54[[#This Row],[Kolumna223]]*Tabela54[[#This Row],[Kolumna63]]</f>
        <v>0</v>
      </c>
      <c r="AJ147" s="119" t="n">
        <v>500</v>
      </c>
      <c r="AK147" s="122" t="n">
        <f aca="false">Tabela54[[#This Row],[Kolumna34]]*12</f>
        <v>6000</v>
      </c>
      <c r="AL147" s="122" t="n">
        <f aca="false">Tabela54[[#This Row],[Kolumna32]]/4.2</f>
        <v>1428.57142857143</v>
      </c>
      <c r="AM147" s="119" t="n">
        <f aca="false">Tabela54[[#This Row],[Kolumna322]]*Tabela54[[#This Row],[Kolumna63]]</f>
        <v>1000</v>
      </c>
      <c r="AN147" s="122"/>
      <c r="AO147" s="122" t="n">
        <f aca="false">Tabela54[[#This Row],[Kolumna5]]*Tabela54[[#This Row],[Kolumna63]]</f>
        <v>0</v>
      </c>
      <c r="AP147" s="53" t="n">
        <v>0.7</v>
      </c>
      <c r="AQ147" s="29"/>
      <c r="AR147" s="29"/>
      <c r="AS147" s="29"/>
      <c r="AT147" s="29"/>
    </row>
    <row r="148" customFormat="false" ht="30" hidden="false" customHeight="true" outlineLevel="0" collapsed="false">
      <c r="A148" s="25" t="n">
        <v>141</v>
      </c>
      <c r="B148" s="27" t="s">
        <v>241</v>
      </c>
      <c r="C148" s="49" t="s">
        <v>257</v>
      </c>
      <c r="D148" s="134"/>
      <c r="E148" s="135" t="n">
        <v>80</v>
      </c>
      <c r="F14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513.8373</v>
      </c>
      <c r="G148" s="135"/>
      <c r="H148" s="130" t="n">
        <v>2</v>
      </c>
      <c r="I148" s="26" t="n">
        <f aca="false">Tabela43[[#This Row],[Kolumna5]]*20700*0.27778</f>
        <v>11500.092</v>
      </c>
      <c r="J148" s="130"/>
      <c r="K148" s="130"/>
      <c r="L148" s="28" t="n">
        <f aca="false">Tabela43[[#This Row],[Kolumna8]]*0.000843882*40190*0.27778</f>
        <v>0</v>
      </c>
      <c r="M148" s="130"/>
      <c r="N148" s="146" t="n">
        <f aca="false">Tabela43[[#This Row],[Kolumna84]]/2.55</f>
        <v>0</v>
      </c>
      <c r="O148" s="28" t="n">
        <f aca="false">Tabela43[[#This Row],[Kolumna82]]*35.94*0.27778</f>
        <v>0</v>
      </c>
      <c r="P148" s="130"/>
      <c r="Q148" s="130"/>
      <c r="R148" s="130" t="n">
        <v>10</v>
      </c>
      <c r="S148" s="116" t="n">
        <f aca="false">Tabela43[[#This Row],[Kolumna92]]*0.65</f>
        <v>6.5</v>
      </c>
      <c r="T148" s="28" t="n">
        <f aca="false">Tabela43[[#This Row],[Kolumna10]]*15600*0.27778</f>
        <v>28166.892</v>
      </c>
      <c r="U148" s="130"/>
      <c r="V148" s="130"/>
      <c r="W148" s="130"/>
      <c r="X148" s="130" t="n">
        <v>120</v>
      </c>
      <c r="Y148" s="130" t="n">
        <f aca="false">Tabela43[[#This Row],[Kolumna1223]]*12</f>
        <v>1440</v>
      </c>
      <c r="Z148" s="28" t="n">
        <f aca="false">Tabela43[[#This Row],[Kolumna123]]/0.55</f>
        <v>2618.18181818182</v>
      </c>
      <c r="AA148" s="130"/>
      <c r="AB148" s="130"/>
      <c r="AC148" s="125" t="n">
        <f aca="false">Tabela54[[#This Row],[Kolumna22]]*12</f>
        <v>0</v>
      </c>
      <c r="AD148" s="122" t="n">
        <f aca="false">Tabela54[[#This Row],[Kolumna3]]/4.44</f>
        <v>0</v>
      </c>
      <c r="AE148" s="120" t="n">
        <f aca="false">Tabela54[[#This Row],[Kolumna23]]*Tabela54[[#This Row],[Kolumna63]]</f>
        <v>0</v>
      </c>
      <c r="AF148" s="120"/>
      <c r="AG148" s="122" t="n">
        <f aca="false">Tabela54[[#This Row],[Kolumna12]]*12</f>
        <v>0</v>
      </c>
      <c r="AH148" s="122" t="n">
        <f aca="false">Tabela54[[#This Row],[Kolumna222]]/1.59</f>
        <v>0</v>
      </c>
      <c r="AI148" s="119" t="n">
        <f aca="false">Tabela54[[#This Row],[Kolumna223]]*Tabela54[[#This Row],[Kolumna63]]</f>
        <v>0</v>
      </c>
      <c r="AJ148" s="119" t="n">
        <v>300</v>
      </c>
      <c r="AK148" s="122" t="n">
        <f aca="false">Tabela54[[#This Row],[Kolumna34]]*12</f>
        <v>3600</v>
      </c>
      <c r="AL148" s="122" t="n">
        <f aca="false">Tabela54[[#This Row],[Kolumna32]]/4.2</f>
        <v>857.142857142857</v>
      </c>
      <c r="AM148" s="119" t="n">
        <f aca="false">Tabela54[[#This Row],[Kolumna322]]*Tabela54[[#This Row],[Kolumna63]]</f>
        <v>342.857142857143</v>
      </c>
      <c r="AN148" s="122"/>
      <c r="AO148" s="122" t="n">
        <f aca="false">Tabela54[[#This Row],[Kolumna5]]*Tabela54[[#This Row],[Kolumna63]]</f>
        <v>0</v>
      </c>
      <c r="AP148" s="53" t="n">
        <v>0.4</v>
      </c>
      <c r="AQ148" s="29"/>
      <c r="AR148" s="29"/>
      <c r="AS148" s="29"/>
      <c r="AT148" s="29"/>
    </row>
    <row r="149" customFormat="false" ht="30" hidden="false" customHeight="true" outlineLevel="0" collapsed="false">
      <c r="A149" s="25" t="n">
        <v>142</v>
      </c>
      <c r="B149" s="27" t="s">
        <v>241</v>
      </c>
      <c r="C149" s="49" t="s">
        <v>257</v>
      </c>
      <c r="D149" s="134"/>
      <c r="E149" s="135" t="n">
        <v>160</v>
      </c>
      <c r="F14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262.876995</v>
      </c>
      <c r="G149" s="135"/>
      <c r="H149" s="130" t="n">
        <v>4</v>
      </c>
      <c r="I149" s="26" t="n">
        <f aca="false">Tabela43[[#This Row],[Kolumna5]]*20700*0.27778</f>
        <v>23000.184</v>
      </c>
      <c r="J149" s="130"/>
      <c r="K149" s="130"/>
      <c r="L149" s="28" t="n">
        <f aca="false">Tabela43[[#This Row],[Kolumna8]]*0.000843882*40190*0.27778</f>
        <v>0</v>
      </c>
      <c r="M149" s="130"/>
      <c r="N149" s="146" t="n">
        <f aca="false">Tabela43[[#This Row],[Kolumna84]]/2.55</f>
        <v>0</v>
      </c>
      <c r="O149" s="28" t="n">
        <f aca="false">Tabela43[[#This Row],[Kolumna82]]*35.94*0.27778</f>
        <v>0</v>
      </c>
      <c r="P149" s="130"/>
      <c r="Q149" s="130"/>
      <c r="R149" s="130" t="n">
        <v>6</v>
      </c>
      <c r="S149" s="116" t="n">
        <f aca="false">Tabela43[[#This Row],[Kolumna92]]*0.65</f>
        <v>3.9</v>
      </c>
      <c r="T149" s="28" t="n">
        <f aca="false">Tabela43[[#This Row],[Kolumna10]]*15600*0.27778</f>
        <v>16900.1352</v>
      </c>
      <c r="U149" s="130"/>
      <c r="V149" s="130"/>
      <c r="W149" s="130"/>
      <c r="X149" s="130" t="n">
        <v>180</v>
      </c>
      <c r="Y149" s="130" t="n">
        <f aca="false">Tabela43[[#This Row],[Kolumna1223]]*12</f>
        <v>2160</v>
      </c>
      <c r="Z149" s="28" t="n">
        <f aca="false">Tabela43[[#This Row],[Kolumna123]]/0.55</f>
        <v>3927.27272727273</v>
      </c>
      <c r="AA149" s="130"/>
      <c r="AB149" s="130"/>
      <c r="AC149" s="125" t="n">
        <f aca="false">Tabela54[[#This Row],[Kolumna22]]*12</f>
        <v>0</v>
      </c>
      <c r="AD149" s="122" t="n">
        <f aca="false">Tabela54[[#This Row],[Kolumna3]]/4.44</f>
        <v>0</v>
      </c>
      <c r="AE149" s="120" t="n">
        <f aca="false">Tabela54[[#This Row],[Kolumna23]]*Tabela54[[#This Row],[Kolumna63]]</f>
        <v>0</v>
      </c>
      <c r="AF149" s="120"/>
      <c r="AG149" s="122" t="n">
        <f aca="false">Tabela54[[#This Row],[Kolumna12]]*12</f>
        <v>0</v>
      </c>
      <c r="AH149" s="122" t="n">
        <f aca="false">Tabela54[[#This Row],[Kolumna222]]/1.59</f>
        <v>0</v>
      </c>
      <c r="AI149" s="119" t="n">
        <f aca="false">Tabela54[[#This Row],[Kolumna223]]*Tabela54[[#This Row],[Kolumna63]]</f>
        <v>0</v>
      </c>
      <c r="AJ149" s="119" t="n">
        <v>150</v>
      </c>
      <c r="AK149" s="122" t="n">
        <f aca="false">Tabela54[[#This Row],[Kolumna34]]*12</f>
        <v>1800</v>
      </c>
      <c r="AL149" s="122" t="n">
        <f aca="false">Tabela54[[#This Row],[Kolumna32]]/4.2</f>
        <v>428.571428571429</v>
      </c>
      <c r="AM149" s="119" t="n">
        <f aca="false">Tabela54[[#This Row],[Kolumna322]]*Tabela54[[#This Row],[Kolumna63]]</f>
        <v>21.4285714285714</v>
      </c>
      <c r="AN149" s="122"/>
      <c r="AO149" s="122" t="n">
        <f aca="false">Tabela54[[#This Row],[Kolumna5]]*Tabela54[[#This Row],[Kolumna63]]</f>
        <v>0</v>
      </c>
      <c r="AP149" s="53" t="n">
        <v>0.05</v>
      </c>
      <c r="AQ149" s="29"/>
      <c r="AR149" s="29"/>
      <c r="AS149" s="29"/>
      <c r="AT149" s="29"/>
    </row>
    <row r="150" customFormat="false" ht="30" hidden="false" customHeight="true" outlineLevel="0" collapsed="false">
      <c r="A150" s="40" t="n">
        <v>143</v>
      </c>
      <c r="B150" s="27" t="s">
        <v>241</v>
      </c>
      <c r="C150" s="49" t="s">
        <v>257</v>
      </c>
      <c r="D150" s="134"/>
      <c r="E150" s="135" t="n">
        <v>90</v>
      </c>
      <c r="F15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388.891893333333</v>
      </c>
      <c r="G150" s="135"/>
      <c r="H150" s="130"/>
      <c r="I150" s="26" t="n">
        <f aca="false">Tabela43[[#This Row],[Kolumna5]]*20700*0.27778</f>
        <v>0</v>
      </c>
      <c r="J150" s="130"/>
      <c r="K150" s="130"/>
      <c r="L150" s="28" t="n">
        <f aca="false">Tabela43[[#This Row],[Kolumna8]]*0.000843882*40190*0.27778</f>
        <v>0</v>
      </c>
      <c r="M150" s="130"/>
      <c r="N150" s="146" t="n">
        <f aca="false">Tabela43[[#This Row],[Kolumna84]]/2.55</f>
        <v>0</v>
      </c>
      <c r="O150" s="28" t="n">
        <f aca="false">Tabela43[[#This Row],[Kolumna82]]*35.94*0.27778</f>
        <v>0</v>
      </c>
      <c r="P150" s="130" t="n">
        <v>6</v>
      </c>
      <c r="Q150" s="130"/>
      <c r="R150" s="130" t="n">
        <v>12</v>
      </c>
      <c r="S150" s="116" t="n">
        <f aca="false">Tabela43[[#This Row],[Kolumna92]]*0.65</f>
        <v>7.8</v>
      </c>
      <c r="T150" s="28" t="n">
        <f aca="false">Tabela43[[#This Row],[Kolumna10]]*15600*0.27778</f>
        <v>33800.2704</v>
      </c>
      <c r="U150" s="130"/>
      <c r="V150" s="130"/>
      <c r="W150" s="130"/>
      <c r="X150" s="130" t="n">
        <v>100</v>
      </c>
      <c r="Y150" s="130" t="n">
        <f aca="false">Tabela43[[#This Row],[Kolumna1223]]*12</f>
        <v>1200</v>
      </c>
      <c r="Z150" s="28" t="n">
        <f aca="false">Tabela43[[#This Row],[Kolumna123]]/0.55</f>
        <v>2181.81818181818</v>
      </c>
      <c r="AA150" s="130"/>
      <c r="AB150" s="130"/>
      <c r="AC150" s="125" t="n">
        <f aca="false">Tabela54[[#This Row],[Kolumna22]]*12</f>
        <v>0</v>
      </c>
      <c r="AD150" s="122" t="n">
        <f aca="false">Tabela54[[#This Row],[Kolumna3]]/4.44</f>
        <v>0</v>
      </c>
      <c r="AE150" s="120" t="n">
        <f aca="false">Tabela54[[#This Row],[Kolumna23]]*Tabela54[[#This Row],[Kolumna63]]</f>
        <v>0</v>
      </c>
      <c r="AF150" s="120"/>
      <c r="AG150" s="122" t="n">
        <f aca="false">Tabela54[[#This Row],[Kolumna12]]*12</f>
        <v>0</v>
      </c>
      <c r="AH150" s="122" t="n">
        <f aca="false">Tabela54[[#This Row],[Kolumna222]]/1.59</f>
        <v>0</v>
      </c>
      <c r="AI150" s="119" t="n">
        <f aca="false">Tabela54[[#This Row],[Kolumna223]]*Tabela54[[#This Row],[Kolumna63]]</f>
        <v>0</v>
      </c>
      <c r="AJ150" s="119" t="n">
        <v>300</v>
      </c>
      <c r="AK150" s="122" t="n">
        <f aca="false">Tabela54[[#This Row],[Kolumna34]]*12</f>
        <v>3600</v>
      </c>
      <c r="AL150" s="122" t="n">
        <f aca="false">Tabela54[[#This Row],[Kolumna32]]/4.2</f>
        <v>857.142857142857</v>
      </c>
      <c r="AM150" s="119" t="n">
        <f aca="false">Tabela54[[#This Row],[Kolumna322]]*Tabela54[[#This Row],[Kolumna63]]</f>
        <v>257.142857142857</v>
      </c>
      <c r="AN150" s="122"/>
      <c r="AO150" s="122" t="n">
        <f aca="false">Tabela54[[#This Row],[Kolumna5]]*Tabela54[[#This Row],[Kolumna63]]</f>
        <v>0</v>
      </c>
      <c r="AP150" s="53" t="n">
        <v>0.3</v>
      </c>
      <c r="AQ150" s="29"/>
      <c r="AR150" s="29"/>
      <c r="AS150" s="29"/>
      <c r="AT150" s="29"/>
    </row>
    <row r="151" customFormat="false" ht="29.25" hidden="false" customHeight="true" outlineLevel="0" collapsed="false">
      <c r="A151" s="25" t="n">
        <v>144</v>
      </c>
      <c r="B151" s="27" t="s">
        <v>241</v>
      </c>
      <c r="C151" s="49" t="s">
        <v>257</v>
      </c>
      <c r="D151" s="134"/>
      <c r="E151" s="135" t="n">
        <v>200</v>
      </c>
      <c r="F15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243.835164</v>
      </c>
      <c r="G151" s="135"/>
      <c r="H151" s="130" t="n">
        <v>6</v>
      </c>
      <c r="I151" s="26" t="n">
        <f aca="false">Tabela43[[#This Row],[Kolumna5]]*20700*0.27778</f>
        <v>34500.276</v>
      </c>
      <c r="J151" s="130"/>
      <c r="K151" s="130"/>
      <c r="L151" s="28" t="n">
        <f aca="false">Tabela43[[#This Row],[Kolumna8]]*0.000843882*40190*0.27778</f>
        <v>0</v>
      </c>
      <c r="M151" s="130"/>
      <c r="N151" s="146" t="n">
        <f aca="false">Tabela43[[#This Row],[Kolumna84]]/2.55</f>
        <v>0</v>
      </c>
      <c r="O151" s="28" t="n">
        <f aca="false">Tabela43[[#This Row],[Kolumna82]]*35.94*0.27778</f>
        <v>0</v>
      </c>
      <c r="P151" s="128"/>
      <c r="Q151" s="130"/>
      <c r="R151" s="130" t="n">
        <v>4</v>
      </c>
      <c r="S151" s="116" t="n">
        <f aca="false">Tabela43[[#This Row],[Kolumna92]]*0.65</f>
        <v>2.6</v>
      </c>
      <c r="T151" s="28" t="n">
        <f aca="false">Tabela43[[#This Row],[Kolumna10]]*15600*0.27778</f>
        <v>11266.7568</v>
      </c>
      <c r="U151" s="130"/>
      <c r="V151" s="130"/>
      <c r="W151" s="130"/>
      <c r="X151" s="130" t="n">
        <v>250</v>
      </c>
      <c r="Y151" s="130" t="n">
        <f aca="false">Tabela43[[#This Row],[Kolumna1223]]*12</f>
        <v>3000</v>
      </c>
      <c r="Z151" s="28" t="n">
        <f aca="false">Tabela43[[#This Row],[Kolumna123]]/0.55</f>
        <v>5454.54545454545</v>
      </c>
      <c r="AA151" s="130"/>
      <c r="AB151" s="130" t="n">
        <v>300</v>
      </c>
      <c r="AC151" s="125" t="n">
        <f aca="false">Tabela54[[#This Row],[Kolumna22]]*12</f>
        <v>3600</v>
      </c>
      <c r="AD151" s="122" t="n">
        <f aca="false">Tabela54[[#This Row],[Kolumna3]]/4.44</f>
        <v>810.810810810811</v>
      </c>
      <c r="AE151" s="120" t="n">
        <f aca="false">Tabela54[[#This Row],[Kolumna23]]*Tabela54[[#This Row],[Kolumna63]]</f>
        <v>405.405405405405</v>
      </c>
      <c r="AF151" s="120"/>
      <c r="AG151" s="122" t="n">
        <f aca="false">Tabela54[[#This Row],[Kolumna12]]*12</f>
        <v>0</v>
      </c>
      <c r="AH151" s="122" t="n">
        <f aca="false">Tabela54[[#This Row],[Kolumna222]]/1.59</f>
        <v>0</v>
      </c>
      <c r="AI151" s="119" t="n">
        <f aca="false">Tabela54[[#This Row],[Kolumna223]]*Tabela54[[#This Row],[Kolumna63]]</f>
        <v>0</v>
      </c>
      <c r="AJ151" s="119"/>
      <c r="AK151" s="122" t="n">
        <f aca="false">Tabela54[[#This Row],[Kolumna34]]*12</f>
        <v>0</v>
      </c>
      <c r="AL151" s="122" t="n">
        <f aca="false">Tabela54[[#This Row],[Kolumna32]]/4.2</f>
        <v>0</v>
      </c>
      <c r="AM151" s="119" t="n">
        <f aca="false">Tabela54[[#This Row],[Kolumna322]]*Tabela54[[#This Row],[Kolumna63]]</f>
        <v>0</v>
      </c>
      <c r="AN151" s="122"/>
      <c r="AO151" s="122" t="n">
        <f aca="false">Tabela54[[#This Row],[Kolumna5]]*Tabela54[[#This Row],[Kolumna63]]</f>
        <v>0</v>
      </c>
      <c r="AP151" s="53" t="n">
        <v>0.5</v>
      </c>
      <c r="AQ151" s="29"/>
      <c r="AR151" s="29"/>
      <c r="AS151" s="29"/>
      <c r="AT151" s="29"/>
    </row>
    <row r="152" customFormat="false" ht="30" hidden="false" customHeight="true" outlineLevel="0" collapsed="false">
      <c r="A152" s="25" t="n">
        <v>145</v>
      </c>
      <c r="B152" s="27" t="s">
        <v>241</v>
      </c>
      <c r="C152" s="49" t="s">
        <v>257</v>
      </c>
      <c r="D152" s="134"/>
      <c r="E152" s="135" t="n">
        <v>160</v>
      </c>
      <c r="F15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191.17788</v>
      </c>
      <c r="G152" s="135"/>
      <c r="H152" s="130"/>
      <c r="I152" s="26" t="n">
        <f aca="false">Tabela43[[#This Row],[Kolumna5]]*20700*0.27778</f>
        <v>0</v>
      </c>
      <c r="J152" s="130"/>
      <c r="K152" s="130"/>
      <c r="L152" s="28" t="n">
        <f aca="false">Tabela43[[#This Row],[Kolumna8]]*0.000843882*40190*0.27778</f>
        <v>0</v>
      </c>
      <c r="M152" s="130" t="n">
        <f aca="false">600*12</f>
        <v>7200</v>
      </c>
      <c r="N152" s="146" t="n">
        <f aca="false">Tabela43[[#This Row],[Kolumna84]]/2.55</f>
        <v>2823.52941176471</v>
      </c>
      <c r="O152" s="28" t="n">
        <f aca="false">Tabela43[[#This Row],[Kolumna82]]*35.94*0.27778</f>
        <v>28188.4608</v>
      </c>
      <c r="P152" s="130"/>
      <c r="Q152" s="130"/>
      <c r="R152" s="130"/>
      <c r="S152" s="116" t="n">
        <f aca="false">Tabela43[[#This Row],[Kolumna92]]*0.65</f>
        <v>0</v>
      </c>
      <c r="T152" s="28" t="n">
        <f aca="false">Tabela43[[#This Row],[Kolumna10]]*15600*0.27778</f>
        <v>0</v>
      </c>
      <c r="U152" s="130"/>
      <c r="V152" s="130"/>
      <c r="W152" s="130"/>
      <c r="X152" s="130" t="n">
        <v>200</v>
      </c>
      <c r="Y152" s="130" t="n">
        <f aca="false">Tabela43[[#This Row],[Kolumna1223]]*12</f>
        <v>2400</v>
      </c>
      <c r="Z152" s="28" t="n">
        <f aca="false">Tabela43[[#This Row],[Kolumna123]]/0.55</f>
        <v>4363.63636363636</v>
      </c>
      <c r="AA152" s="130"/>
      <c r="AB152" s="130" t="n">
        <v>200</v>
      </c>
      <c r="AC152" s="125" t="n">
        <f aca="false">Tabela54[[#This Row],[Kolumna22]]*12</f>
        <v>2400</v>
      </c>
      <c r="AD152" s="122" t="n">
        <f aca="false">Tabela54[[#This Row],[Kolumna3]]/4.44</f>
        <v>540.540540540541</v>
      </c>
      <c r="AE152" s="120" t="n">
        <f aca="false">Tabela54[[#This Row],[Kolumna23]]*Tabela54[[#This Row],[Kolumna63]]</f>
        <v>216.216216216216</v>
      </c>
      <c r="AF152" s="120"/>
      <c r="AG152" s="122" t="n">
        <f aca="false">Tabela54[[#This Row],[Kolumna12]]*12</f>
        <v>0</v>
      </c>
      <c r="AH152" s="122" t="n">
        <f aca="false">Tabela54[[#This Row],[Kolumna222]]/1.59</f>
        <v>0</v>
      </c>
      <c r="AI152" s="119" t="n">
        <f aca="false">Tabela54[[#This Row],[Kolumna223]]*Tabela54[[#This Row],[Kolumna63]]</f>
        <v>0</v>
      </c>
      <c r="AJ152" s="119" t="n">
        <v>400</v>
      </c>
      <c r="AK152" s="122" t="n">
        <f aca="false">Tabela54[[#This Row],[Kolumna34]]*12</f>
        <v>4800</v>
      </c>
      <c r="AL152" s="122" t="n">
        <f aca="false">Tabela54[[#This Row],[Kolumna32]]/4.2</f>
        <v>1142.85714285714</v>
      </c>
      <c r="AM152" s="119" t="n">
        <f aca="false">Tabela54[[#This Row],[Kolumna322]]*Tabela54[[#This Row],[Kolumna63]]</f>
        <v>457.142857142857</v>
      </c>
      <c r="AN152" s="122"/>
      <c r="AO152" s="122" t="n">
        <f aca="false">Tabela54[[#This Row],[Kolumna5]]*Tabela54[[#This Row],[Kolumna63]]</f>
        <v>0</v>
      </c>
      <c r="AP152" s="53" t="n">
        <v>0.4</v>
      </c>
      <c r="AQ152" s="29"/>
      <c r="AR152" s="29"/>
      <c r="AS152" s="29"/>
      <c r="AT152" s="29"/>
    </row>
    <row r="153" customFormat="false" ht="30" hidden="false" customHeight="true" outlineLevel="0" collapsed="false">
      <c r="A153" s="40" t="n">
        <v>146</v>
      </c>
      <c r="B153" s="27" t="s">
        <v>241</v>
      </c>
      <c r="C153" s="49" t="s">
        <v>257</v>
      </c>
      <c r="D153" s="134"/>
      <c r="E153" s="135" t="n">
        <v>100</v>
      </c>
      <c r="F15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299.66892</v>
      </c>
      <c r="G153" s="135"/>
      <c r="H153" s="130"/>
      <c r="I153" s="26" t="n">
        <f aca="false">Tabela43[[#This Row],[Kolumna5]]*20700*0.27778</f>
        <v>0</v>
      </c>
      <c r="J153" s="130"/>
      <c r="K153" s="130"/>
      <c r="L153" s="28" t="n">
        <f aca="false">Tabela43[[#This Row],[Kolumna8]]*0.000843882*40190*0.27778</f>
        <v>0</v>
      </c>
      <c r="M153" s="130"/>
      <c r="N153" s="146" t="n">
        <f aca="false">Tabela43[[#This Row],[Kolumna84]]/2.55</f>
        <v>0</v>
      </c>
      <c r="O153" s="28" t="n">
        <f aca="false">Tabela43[[#This Row],[Kolumna82]]*35.94*0.27778</f>
        <v>0</v>
      </c>
      <c r="P153" s="130"/>
      <c r="Q153" s="130"/>
      <c r="R153" s="130" t="n">
        <v>10</v>
      </c>
      <c r="S153" s="116" t="n">
        <f aca="false">Tabela43[[#This Row],[Kolumna92]]*0.65</f>
        <v>6.5</v>
      </c>
      <c r="T153" s="28" t="n">
        <f aca="false">Tabela43[[#This Row],[Kolumna10]]*15600*0.27778</f>
        <v>28166.892</v>
      </c>
      <c r="U153" s="130"/>
      <c r="V153" s="130"/>
      <c r="W153" s="130"/>
      <c r="X153" s="130" t="n">
        <v>150</v>
      </c>
      <c r="Y153" s="130" t="n">
        <f aca="false">Tabela43[[#This Row],[Kolumna1223]]*12</f>
        <v>1800</v>
      </c>
      <c r="Z153" s="28" t="n">
        <f aca="false">Tabela43[[#This Row],[Kolumna123]]/0.55</f>
        <v>3272.72727272727</v>
      </c>
      <c r="AA153" s="130"/>
      <c r="AB153" s="130"/>
      <c r="AC153" s="125" t="n">
        <f aca="false">Tabela54[[#This Row],[Kolumna22]]*12</f>
        <v>0</v>
      </c>
      <c r="AD153" s="122" t="n">
        <f aca="false">Tabela54[[#This Row],[Kolumna3]]/4.44</f>
        <v>0</v>
      </c>
      <c r="AE153" s="120" t="n">
        <f aca="false">Tabela54[[#This Row],[Kolumna23]]*Tabela54[[#This Row],[Kolumna63]]</f>
        <v>0</v>
      </c>
      <c r="AF153" s="120"/>
      <c r="AG153" s="122" t="n">
        <f aca="false">Tabela54[[#This Row],[Kolumna12]]*12</f>
        <v>0</v>
      </c>
      <c r="AH153" s="122" t="n">
        <f aca="false">Tabela54[[#This Row],[Kolumna222]]/1.59</f>
        <v>0</v>
      </c>
      <c r="AI153" s="119" t="n">
        <f aca="false">Tabela54[[#This Row],[Kolumna223]]*Tabela54[[#This Row],[Kolumna63]]</f>
        <v>0</v>
      </c>
      <c r="AJ153" s="119" t="n">
        <v>300</v>
      </c>
      <c r="AK153" s="122" t="n">
        <f aca="false">Tabela54[[#This Row],[Kolumna34]]*12</f>
        <v>3600</v>
      </c>
      <c r="AL153" s="122" t="n">
        <f aca="false">Tabela54[[#This Row],[Kolumna32]]/4.2</f>
        <v>857.142857142857</v>
      </c>
      <c r="AM153" s="119" t="n">
        <f aca="false">Tabela54[[#This Row],[Kolumna322]]*Tabela54[[#This Row],[Kolumna63]]</f>
        <v>171.428571428571</v>
      </c>
      <c r="AN153" s="122"/>
      <c r="AO153" s="122" t="n">
        <f aca="false">Tabela54[[#This Row],[Kolumna5]]*Tabela54[[#This Row],[Kolumna63]]</f>
        <v>0</v>
      </c>
      <c r="AP153" s="53" t="n">
        <v>0.2</v>
      </c>
      <c r="AQ153" s="29"/>
      <c r="AR153" s="29"/>
      <c r="AS153" s="29"/>
      <c r="AT153" s="29"/>
    </row>
    <row r="154" customFormat="false" ht="30" hidden="false" customHeight="true" outlineLevel="0" collapsed="false">
      <c r="A154" s="25" t="n">
        <v>147</v>
      </c>
      <c r="B154" s="27" t="s">
        <v>241</v>
      </c>
      <c r="C154" s="49" t="s">
        <v>246</v>
      </c>
      <c r="D154" s="134"/>
      <c r="E154" s="135" t="n">
        <v>180</v>
      </c>
      <c r="F15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203.705226666667</v>
      </c>
      <c r="G154" s="135"/>
      <c r="H154" s="130" t="n">
        <v>4</v>
      </c>
      <c r="I154" s="26" t="n">
        <f aca="false">Tabela43[[#This Row],[Kolumna5]]*20700*0.27778</f>
        <v>23000.184</v>
      </c>
      <c r="J154" s="130"/>
      <c r="K154" s="130"/>
      <c r="L154" s="28" t="n">
        <f aca="false">Tabela43[[#This Row],[Kolumna8]]*0.000843882*40190*0.27778</f>
        <v>0</v>
      </c>
      <c r="M154" s="130"/>
      <c r="N154" s="146" t="n">
        <f aca="false">Tabela43[[#This Row],[Kolumna84]]/2.55</f>
        <v>0</v>
      </c>
      <c r="O154" s="28" t="n">
        <f aca="false">Tabela43[[#This Row],[Kolumna82]]*35.94*0.27778</f>
        <v>0</v>
      </c>
      <c r="P154" s="130"/>
      <c r="Q154" s="130"/>
      <c r="R154" s="130" t="n">
        <v>4</v>
      </c>
      <c r="S154" s="116" t="n">
        <f aca="false">Tabela43[[#This Row],[Kolumna92]]*0.65</f>
        <v>2.6</v>
      </c>
      <c r="T154" s="28" t="n">
        <f aca="false">Tabela43[[#This Row],[Kolumna10]]*15600*0.27778</f>
        <v>11266.7568</v>
      </c>
      <c r="U154" s="130"/>
      <c r="V154" s="130"/>
      <c r="W154" s="130"/>
      <c r="X154" s="130" t="n">
        <v>200</v>
      </c>
      <c r="Y154" s="130" t="n">
        <f aca="false">Tabela43[[#This Row],[Kolumna1223]]*12</f>
        <v>2400</v>
      </c>
      <c r="Z154" s="28" t="n">
        <f aca="false">Tabela43[[#This Row],[Kolumna123]]/0.55</f>
        <v>4363.63636363636</v>
      </c>
      <c r="AA154" s="130"/>
      <c r="AB154" s="130"/>
      <c r="AC154" s="125" t="n">
        <f aca="false">Tabela54[[#This Row],[Kolumna22]]*12</f>
        <v>0</v>
      </c>
      <c r="AD154" s="122" t="n">
        <f aca="false">Tabela54[[#This Row],[Kolumna3]]/4.44</f>
        <v>0</v>
      </c>
      <c r="AE154" s="120" t="n">
        <f aca="false">Tabela54[[#This Row],[Kolumna23]]*Tabela54[[#This Row],[Kolumna63]]</f>
        <v>0</v>
      </c>
      <c r="AF154" s="120"/>
      <c r="AG154" s="122" t="n">
        <f aca="false">Tabela54[[#This Row],[Kolumna12]]*12</f>
        <v>0</v>
      </c>
      <c r="AH154" s="122" t="n">
        <f aca="false">Tabela54[[#This Row],[Kolumna222]]/1.59</f>
        <v>0</v>
      </c>
      <c r="AI154" s="119" t="n">
        <f aca="false">Tabela54[[#This Row],[Kolumna223]]*Tabela54[[#This Row],[Kolumna63]]</f>
        <v>0</v>
      </c>
      <c r="AJ154" s="119" t="n">
        <v>400</v>
      </c>
      <c r="AK154" s="122" t="n">
        <f aca="false">Tabela54[[#This Row],[Kolumna34]]*12</f>
        <v>4800</v>
      </c>
      <c r="AL154" s="122" t="n">
        <f aca="false">Tabela54[[#This Row],[Kolumna32]]/4.2</f>
        <v>1142.85714285714</v>
      </c>
      <c r="AM154" s="119" t="n">
        <f aca="false">Tabela54[[#This Row],[Kolumna322]]*Tabela54[[#This Row],[Kolumna63]]</f>
        <v>457.142857142857</v>
      </c>
      <c r="AN154" s="122"/>
      <c r="AO154" s="122" t="n">
        <f aca="false">Tabela54[[#This Row],[Kolumna5]]*Tabela54[[#This Row],[Kolumna63]]</f>
        <v>0</v>
      </c>
      <c r="AP154" s="53" t="n">
        <v>0.4</v>
      </c>
      <c r="AQ154" s="29"/>
      <c r="AR154" s="29"/>
      <c r="AS154" s="29"/>
      <c r="AT154" s="29"/>
    </row>
    <row r="155" customFormat="false" ht="30" hidden="false" customHeight="true" outlineLevel="0" collapsed="false">
      <c r="A155" s="25" t="n">
        <v>148</v>
      </c>
      <c r="B155" s="27" t="s">
        <v>241</v>
      </c>
      <c r="C155" s="49" t="s">
        <v>246</v>
      </c>
      <c r="D155" s="134"/>
      <c r="E155" s="135" t="n">
        <v>120</v>
      </c>
      <c r="F15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205.72374</v>
      </c>
      <c r="G155" s="135"/>
      <c r="H155" s="130" t="n">
        <v>2</v>
      </c>
      <c r="I155" s="26" t="n">
        <f aca="false">Tabela43[[#This Row],[Kolumna5]]*20700*0.27778</f>
        <v>11500.092</v>
      </c>
      <c r="J155" s="130"/>
      <c r="K155" s="130"/>
      <c r="L155" s="28" t="n">
        <f aca="false">Tabela43[[#This Row],[Kolumna8]]*0.000843882*40190*0.27778</f>
        <v>0</v>
      </c>
      <c r="M155" s="130"/>
      <c r="N155" s="146" t="n">
        <f aca="false">Tabela43[[#This Row],[Kolumna84]]/2.55</f>
        <v>0</v>
      </c>
      <c r="O155" s="28" t="n">
        <f aca="false">Tabela43[[#This Row],[Kolumna82]]*35.94*0.27778</f>
        <v>0</v>
      </c>
      <c r="P155" s="130"/>
      <c r="Q155" s="130"/>
      <c r="R155" s="130" t="n">
        <v>4</v>
      </c>
      <c r="S155" s="116" t="n">
        <f aca="false">Tabela43[[#This Row],[Kolumna92]]*0.65</f>
        <v>2.6</v>
      </c>
      <c r="T155" s="28" t="n">
        <f aca="false">Tabela43[[#This Row],[Kolumna10]]*15600*0.27778</f>
        <v>11266.7568</v>
      </c>
      <c r="U155" s="130"/>
      <c r="V155" s="130"/>
      <c r="W155" s="130"/>
      <c r="X155" s="130" t="n">
        <v>160</v>
      </c>
      <c r="Y155" s="130" t="n">
        <f aca="false">Tabela43[[#This Row],[Kolumna1223]]*12</f>
        <v>1920</v>
      </c>
      <c r="Z155" s="28" t="n">
        <f aca="false">Tabela43[[#This Row],[Kolumna123]]/0.55</f>
        <v>3490.90909090909</v>
      </c>
      <c r="AA155" s="130"/>
      <c r="AB155" s="130" t="n">
        <v>200</v>
      </c>
      <c r="AC155" s="125" t="n">
        <f aca="false">Tabela54[[#This Row],[Kolumna22]]*12</f>
        <v>2400</v>
      </c>
      <c r="AD155" s="122" t="n">
        <f aca="false">Tabela54[[#This Row],[Kolumna3]]/4.44</f>
        <v>540.540540540541</v>
      </c>
      <c r="AE155" s="120" t="n">
        <f aca="false">Tabela54[[#This Row],[Kolumna23]]*Tabela54[[#This Row],[Kolumna63]]</f>
        <v>54.0540540540541</v>
      </c>
      <c r="AF155" s="120" t="n">
        <v>100</v>
      </c>
      <c r="AG155" s="122" t="n">
        <f aca="false">Tabela54[[#This Row],[Kolumna12]]*12</f>
        <v>1200</v>
      </c>
      <c r="AH155" s="122" t="n">
        <f aca="false">Tabela54[[#This Row],[Kolumna222]]/1.59</f>
        <v>754.716981132076</v>
      </c>
      <c r="AI155" s="119" t="n">
        <f aca="false">Tabela54[[#This Row],[Kolumna223]]*Tabela54[[#This Row],[Kolumna63]]</f>
        <v>75.4716981132076</v>
      </c>
      <c r="AJ155" s="119"/>
      <c r="AK155" s="122" t="n">
        <f aca="false">Tabela54[[#This Row],[Kolumna34]]*12</f>
        <v>0</v>
      </c>
      <c r="AL155" s="122" t="n">
        <f aca="false">Tabela54[[#This Row],[Kolumna32]]/4.2</f>
        <v>0</v>
      </c>
      <c r="AM155" s="119" t="n">
        <f aca="false">Tabela54[[#This Row],[Kolumna322]]*Tabela54[[#This Row],[Kolumna63]]</f>
        <v>0</v>
      </c>
      <c r="AN155" s="122"/>
      <c r="AO155" s="122" t="n">
        <f aca="false">Tabela54[[#This Row],[Kolumna5]]*Tabela54[[#This Row],[Kolumna63]]</f>
        <v>0</v>
      </c>
      <c r="AP155" s="53" t="n">
        <v>0.1</v>
      </c>
      <c r="AQ155" s="29"/>
      <c r="AR155" s="29"/>
      <c r="AS155" s="29"/>
      <c r="AT155" s="29"/>
    </row>
    <row r="156" customFormat="false" ht="30" hidden="false" customHeight="true" outlineLevel="0" collapsed="false">
      <c r="A156" s="40" t="n">
        <v>149</v>
      </c>
      <c r="B156" s="27" t="s">
        <v>241</v>
      </c>
      <c r="C156" s="49" t="s">
        <v>246</v>
      </c>
      <c r="D156" s="134"/>
      <c r="E156" s="135" t="n">
        <v>120</v>
      </c>
      <c r="F15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156" s="135"/>
      <c r="H156" s="130" t="n">
        <v>2</v>
      </c>
      <c r="I156" s="26" t="n">
        <f aca="false">Tabela43[[#This Row],[Kolumna5]]*20700*0.27778</f>
        <v>11500.092</v>
      </c>
      <c r="J156" s="130"/>
      <c r="K156" s="130"/>
      <c r="L156" s="28" t="n">
        <f aca="false">Tabela43[[#This Row],[Kolumna8]]*0.000843882*40190*0.27778</f>
        <v>0</v>
      </c>
      <c r="M156" s="130"/>
      <c r="N156" s="146" t="n">
        <f aca="false">Tabela43[[#This Row],[Kolumna84]]/2.55</f>
        <v>0</v>
      </c>
      <c r="O156" s="28" t="n">
        <f aca="false">Tabela43[[#This Row],[Kolumna82]]*35.94*0.27778</f>
        <v>0</v>
      </c>
      <c r="P156" s="130"/>
      <c r="Q156" s="130"/>
      <c r="R156" s="130" t="n">
        <v>10</v>
      </c>
      <c r="S156" s="116" t="n">
        <f aca="false">Tabela43[[#This Row],[Kolumna92]]*0.65</f>
        <v>6.5</v>
      </c>
      <c r="T156" s="28" t="n">
        <f aca="false">Tabela43[[#This Row],[Kolumna10]]*15600*0.27778</f>
        <v>28166.892</v>
      </c>
      <c r="U156" s="130"/>
      <c r="V156" s="130"/>
      <c r="W156" s="130"/>
      <c r="X156" s="130" t="n">
        <v>120</v>
      </c>
      <c r="Y156" s="130" t="n">
        <f aca="false">Tabela43[[#This Row],[Kolumna1223]]*12</f>
        <v>1440</v>
      </c>
      <c r="Z156" s="28" t="n">
        <f aca="false">Tabela43[[#This Row],[Kolumna123]]/0.55</f>
        <v>2618.18181818182</v>
      </c>
      <c r="AA156" s="130"/>
      <c r="AB156" s="130"/>
      <c r="AC156" s="125" t="n">
        <f aca="false">Tabela54[[#This Row],[Kolumna22]]*12</f>
        <v>0</v>
      </c>
      <c r="AD156" s="122" t="n">
        <f aca="false">Tabela54[[#This Row],[Kolumna3]]/4.44</f>
        <v>0</v>
      </c>
      <c r="AE156" s="120" t="n">
        <f aca="false">Tabela54[[#This Row],[Kolumna23]]*Tabela54[[#This Row],[Kolumna63]]</f>
        <v>0</v>
      </c>
      <c r="AF156" s="120"/>
      <c r="AG156" s="122" t="n">
        <f aca="false">Tabela54[[#This Row],[Kolumna12]]*12</f>
        <v>0</v>
      </c>
      <c r="AH156" s="122" t="n">
        <f aca="false">Tabela54[[#This Row],[Kolumna222]]/1.59</f>
        <v>0</v>
      </c>
      <c r="AI156" s="119" t="n">
        <f aca="false">Tabela54[[#This Row],[Kolumna223]]*Tabela54[[#This Row],[Kolumna63]]</f>
        <v>0</v>
      </c>
      <c r="AJ156" s="119" t="n">
        <v>200</v>
      </c>
      <c r="AK156" s="122" t="n">
        <f aca="false">Tabela54[[#This Row],[Kolumna34]]*12</f>
        <v>2400</v>
      </c>
      <c r="AL156" s="122" t="n">
        <f aca="false">Tabela54[[#This Row],[Kolumna32]]/4.2</f>
        <v>571.428571428571</v>
      </c>
      <c r="AM156" s="119" t="n">
        <f aca="false">Tabela54[[#This Row],[Kolumna322]]*Tabela54[[#This Row],[Kolumna63]]</f>
        <v>114.285714285714</v>
      </c>
      <c r="AN156" s="122"/>
      <c r="AO156" s="122" t="n">
        <f aca="false">Tabela54[[#This Row],[Kolumna5]]*Tabela54[[#This Row],[Kolumna63]]</f>
        <v>0</v>
      </c>
      <c r="AP156" s="53" t="n">
        <v>0.2</v>
      </c>
      <c r="AQ156" s="29"/>
      <c r="AR156" s="29"/>
      <c r="AS156" s="29"/>
      <c r="AT156" s="29"/>
    </row>
    <row r="157" customFormat="false" ht="30" hidden="false" customHeight="true" outlineLevel="0" collapsed="false">
      <c r="A157" s="25" t="n">
        <v>150</v>
      </c>
      <c r="B157" s="27" t="s">
        <v>241</v>
      </c>
      <c r="C157" s="49" t="s">
        <v>246</v>
      </c>
      <c r="D157" s="134"/>
      <c r="E157" s="135" t="n">
        <v>80</v>
      </c>
      <c r="F15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367.08615</v>
      </c>
      <c r="G157" s="135"/>
      <c r="H157" s="130"/>
      <c r="I157" s="26" t="n">
        <f aca="false">Tabela43[[#This Row],[Kolumna5]]*20700*0.27778</f>
        <v>0</v>
      </c>
      <c r="J157" s="130"/>
      <c r="K157" s="130"/>
      <c r="L157" s="28" t="n">
        <f aca="false">Tabela43[[#This Row],[Kolumna8]]*0.000843882*40190*0.27778</f>
        <v>0</v>
      </c>
      <c r="M157" s="130"/>
      <c r="N157" s="146" t="n">
        <f aca="false">Tabela43[[#This Row],[Kolumna84]]/2.55</f>
        <v>0</v>
      </c>
      <c r="O157" s="28" t="n">
        <f aca="false">Tabela43[[#This Row],[Kolumna82]]*35.94*0.27778</f>
        <v>0</v>
      </c>
      <c r="P157" s="130"/>
      <c r="Q157" s="130"/>
      <c r="R157" s="130" t="n">
        <v>10</v>
      </c>
      <c r="S157" s="116" t="n">
        <f aca="false">Tabela43[[#This Row],[Kolumna92]]*0.65</f>
        <v>6.5</v>
      </c>
      <c r="T157" s="28" t="n">
        <f aca="false">Tabela43[[#This Row],[Kolumna10]]*15600*0.27778</f>
        <v>28166.892</v>
      </c>
      <c r="U157" s="130"/>
      <c r="V157" s="130"/>
      <c r="W157" s="130"/>
      <c r="X157" s="130" t="n">
        <v>100</v>
      </c>
      <c r="Y157" s="130" t="n">
        <f aca="false">Tabela43[[#This Row],[Kolumna1223]]*12</f>
        <v>1200</v>
      </c>
      <c r="Z157" s="28" t="n">
        <f aca="false">Tabela43[[#This Row],[Kolumna123]]/0.55</f>
        <v>2181.81818181818</v>
      </c>
      <c r="AA157" s="130"/>
      <c r="AB157" s="130"/>
      <c r="AC157" s="125" t="n">
        <f aca="false">Tabela54[[#This Row],[Kolumna22]]*12</f>
        <v>0</v>
      </c>
      <c r="AD157" s="122" t="n">
        <f aca="false">Tabela54[[#This Row],[Kolumna3]]/4.44</f>
        <v>0</v>
      </c>
      <c r="AE157" s="120" t="n">
        <f aca="false">Tabela54[[#This Row],[Kolumna23]]*Tabela54[[#This Row],[Kolumna63]]</f>
        <v>0</v>
      </c>
      <c r="AF157" s="120"/>
      <c r="AG157" s="122" t="n">
        <f aca="false">Tabela54[[#This Row],[Kolumna12]]*12</f>
        <v>0</v>
      </c>
      <c r="AH157" s="122" t="n">
        <f aca="false">Tabela54[[#This Row],[Kolumna222]]/1.59</f>
        <v>0</v>
      </c>
      <c r="AI157" s="119" t="n">
        <f aca="false">Tabela54[[#This Row],[Kolumna223]]*Tabela54[[#This Row],[Kolumna63]]</f>
        <v>0</v>
      </c>
      <c r="AJ157" s="119"/>
      <c r="AK157" s="122" t="n">
        <f aca="false">Tabela54[[#This Row],[Kolumna34]]*12</f>
        <v>0</v>
      </c>
      <c r="AL157" s="122" t="n">
        <f aca="false">Tabela54[[#This Row],[Kolumna32]]/4.2</f>
        <v>0</v>
      </c>
      <c r="AM157" s="119" t="n">
        <f aca="false">Tabela54[[#This Row],[Kolumna322]]*Tabela54[[#This Row],[Kolumna63]]</f>
        <v>0</v>
      </c>
      <c r="AN157" s="122"/>
      <c r="AO157" s="122" t="n">
        <f aca="false">Tabela54[[#This Row],[Kolumna5]]*Tabela54[[#This Row],[Kolumna63]]</f>
        <v>0</v>
      </c>
      <c r="AP157" s="53"/>
      <c r="AQ157" s="29"/>
      <c r="AR157" s="29"/>
      <c r="AS157" s="29"/>
      <c r="AT157" s="29"/>
    </row>
    <row r="158" customFormat="false" ht="30" hidden="false" customHeight="true" outlineLevel="0" collapsed="false">
      <c r="A158" s="25" t="n">
        <v>151</v>
      </c>
      <c r="B158" s="27" t="s">
        <v>241</v>
      </c>
      <c r="C158" s="49" t="s">
        <v>246</v>
      </c>
      <c r="D158" s="134"/>
      <c r="E158" s="135" t="n">
        <v>110</v>
      </c>
      <c r="F15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378.063490909091</v>
      </c>
      <c r="G158" s="135"/>
      <c r="H158" s="130" t="n">
        <v>2</v>
      </c>
      <c r="I158" s="26" t="n">
        <f aca="false">Tabela43[[#This Row],[Kolumna5]]*20700*0.27778</f>
        <v>11500.092</v>
      </c>
      <c r="J158" s="130"/>
      <c r="K158" s="130"/>
      <c r="L158" s="28" t="n">
        <f aca="false">Tabela43[[#This Row],[Kolumna8]]*0.000843882*40190*0.27778</f>
        <v>0</v>
      </c>
      <c r="M158" s="130"/>
      <c r="N158" s="146" t="n">
        <f aca="false">Tabela43[[#This Row],[Kolumna84]]/2.55</f>
        <v>0</v>
      </c>
      <c r="O158" s="28" t="n">
        <f aca="false">Tabela43[[#This Row],[Kolumna82]]*35.94*0.27778</f>
        <v>0</v>
      </c>
      <c r="P158" s="130"/>
      <c r="Q158" s="130"/>
      <c r="R158" s="130" t="n">
        <v>10</v>
      </c>
      <c r="S158" s="116" t="n">
        <f aca="false">Tabela43[[#This Row],[Kolumna92]]*0.65</f>
        <v>6.5</v>
      </c>
      <c r="T158" s="28" t="n">
        <f aca="false">Tabela43[[#This Row],[Kolumna10]]*15600*0.27778</f>
        <v>28166.892</v>
      </c>
      <c r="U158" s="130"/>
      <c r="V158" s="130"/>
      <c r="W158" s="130"/>
      <c r="X158" s="130" t="n">
        <v>160</v>
      </c>
      <c r="Y158" s="130" t="n">
        <f aca="false">Tabela43[[#This Row],[Kolumna1223]]*12</f>
        <v>1920</v>
      </c>
      <c r="Z158" s="28" t="n">
        <f aca="false">Tabela43[[#This Row],[Kolumna123]]/0.55</f>
        <v>3490.90909090909</v>
      </c>
      <c r="AA158" s="130"/>
      <c r="AB158" s="130"/>
      <c r="AC158" s="125" t="n">
        <f aca="false">Tabela54[[#This Row],[Kolumna22]]*12</f>
        <v>0</v>
      </c>
      <c r="AD158" s="122" t="n">
        <f aca="false">Tabela54[[#This Row],[Kolumna3]]/4.44</f>
        <v>0</v>
      </c>
      <c r="AE158" s="120" t="n">
        <f aca="false">Tabela54[[#This Row],[Kolumna23]]*Tabela54[[#This Row],[Kolumna63]]</f>
        <v>0</v>
      </c>
      <c r="AF158" s="120"/>
      <c r="AG158" s="122" t="n">
        <f aca="false">Tabela54[[#This Row],[Kolumna12]]*12</f>
        <v>0</v>
      </c>
      <c r="AH158" s="122" t="n">
        <f aca="false">Tabela54[[#This Row],[Kolumna222]]/1.59</f>
        <v>0</v>
      </c>
      <c r="AI158" s="119" t="n">
        <f aca="false">Tabela54[[#This Row],[Kolumna223]]*Tabela54[[#This Row],[Kolumna63]]</f>
        <v>0</v>
      </c>
      <c r="AJ158" s="119" t="n">
        <v>200</v>
      </c>
      <c r="AK158" s="122" t="n">
        <f aca="false">Tabela54[[#This Row],[Kolumna34]]*12</f>
        <v>2400</v>
      </c>
      <c r="AL158" s="122" t="n">
        <f aca="false">Tabela54[[#This Row],[Kolumna32]]/4.2</f>
        <v>571.428571428571</v>
      </c>
      <c r="AM158" s="119" t="n">
        <f aca="false">Tabela54[[#This Row],[Kolumna322]]*Tabela54[[#This Row],[Kolumna63]]</f>
        <v>171.428571428571</v>
      </c>
      <c r="AN158" s="122"/>
      <c r="AO158" s="122" t="n">
        <f aca="false">Tabela54[[#This Row],[Kolumna5]]*Tabela54[[#This Row],[Kolumna63]]</f>
        <v>0</v>
      </c>
      <c r="AP158" s="53" t="n">
        <v>0.3</v>
      </c>
      <c r="AQ158" s="29"/>
      <c r="AR158" s="29"/>
      <c r="AS158" s="29"/>
      <c r="AT158" s="29"/>
    </row>
    <row r="159" customFormat="false" ht="30" hidden="false" customHeight="true" outlineLevel="0" collapsed="false">
      <c r="A159" s="40" t="n">
        <v>152</v>
      </c>
      <c r="B159" s="27" t="s">
        <v>241</v>
      </c>
      <c r="C159" s="49" t="s">
        <v>249</v>
      </c>
      <c r="D159" s="134"/>
      <c r="E159" s="135" t="n">
        <v>70</v>
      </c>
      <c r="F15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227.060434285714</v>
      </c>
      <c r="G159" s="135"/>
      <c r="H159" s="130"/>
      <c r="I159" s="26" t="n">
        <f aca="false">Tabela43[[#This Row],[Kolumna5]]*20700*0.27778</f>
        <v>0</v>
      </c>
      <c r="J159" s="130"/>
      <c r="K159" s="130"/>
      <c r="L159" s="28" t="n">
        <f aca="false">Tabela43[[#This Row],[Kolumna8]]*0.000843882*40190*0.27778</f>
        <v>0</v>
      </c>
      <c r="M159" s="130" t="n">
        <f aca="false">300*12</f>
        <v>3600</v>
      </c>
      <c r="N159" s="146" t="n">
        <f aca="false">Tabela43[[#This Row],[Kolumna84]]/2.55</f>
        <v>1411.76470588235</v>
      </c>
      <c r="O159" s="28" t="n">
        <f aca="false">Tabela43[[#This Row],[Kolumna82]]*35.94*0.27778</f>
        <v>14094.2304</v>
      </c>
      <c r="P159" s="130"/>
      <c r="Q159" s="130"/>
      <c r="R159" s="130"/>
      <c r="S159" s="116" t="n">
        <f aca="false">Tabela43[[#This Row],[Kolumna92]]*0.65</f>
        <v>0</v>
      </c>
      <c r="T159" s="28" t="n">
        <f aca="false">Tabela43[[#This Row],[Kolumna10]]*15600*0.27778</f>
        <v>0</v>
      </c>
      <c r="U159" s="130"/>
      <c r="V159" s="130"/>
      <c r="W159" s="130"/>
      <c r="X159" s="130" t="n">
        <v>150</v>
      </c>
      <c r="Y159" s="130" t="n">
        <f aca="false">Tabela43[[#This Row],[Kolumna1223]]*12</f>
        <v>1800</v>
      </c>
      <c r="Z159" s="28" t="n">
        <f aca="false">Tabela43[[#This Row],[Kolumna123]]/0.55</f>
        <v>3272.72727272727</v>
      </c>
      <c r="AA159" s="130"/>
      <c r="AB159" s="130" t="n">
        <v>300</v>
      </c>
      <c r="AC159" s="125" t="n">
        <f aca="false">Tabela54[[#This Row],[Kolumna22]]*12</f>
        <v>3600</v>
      </c>
      <c r="AD159" s="122" t="n">
        <f aca="false">Tabela54[[#This Row],[Kolumna3]]/4.44</f>
        <v>810.810810810811</v>
      </c>
      <c r="AE159" s="120" t="n">
        <f aca="false">Tabela54[[#This Row],[Kolumna23]]*Tabela54[[#This Row],[Kolumna63]]</f>
        <v>324.324324324324</v>
      </c>
      <c r="AF159" s="120"/>
      <c r="AG159" s="122" t="n">
        <f aca="false">Tabela54[[#This Row],[Kolumna12]]*12</f>
        <v>0</v>
      </c>
      <c r="AH159" s="122" t="n">
        <f aca="false">Tabela54[[#This Row],[Kolumna222]]/1.59</f>
        <v>0</v>
      </c>
      <c r="AI159" s="119" t="n">
        <f aca="false">Tabela54[[#This Row],[Kolumna223]]*Tabela54[[#This Row],[Kolumna63]]</f>
        <v>0</v>
      </c>
      <c r="AJ159" s="119"/>
      <c r="AK159" s="122" t="n">
        <f aca="false">Tabela54[[#This Row],[Kolumna34]]*12</f>
        <v>0</v>
      </c>
      <c r="AL159" s="122" t="n">
        <f aca="false">Tabela54[[#This Row],[Kolumna32]]/4.2</f>
        <v>0</v>
      </c>
      <c r="AM159" s="119" t="n">
        <f aca="false">Tabela54[[#This Row],[Kolumna322]]*Tabela54[[#This Row],[Kolumna63]]</f>
        <v>0</v>
      </c>
      <c r="AN159" s="122"/>
      <c r="AO159" s="122" t="n">
        <f aca="false">Tabela54[[#This Row],[Kolumna5]]*Tabela54[[#This Row],[Kolumna63]]</f>
        <v>0</v>
      </c>
      <c r="AP159" s="53" t="n">
        <v>0.4</v>
      </c>
      <c r="AQ159" s="29"/>
      <c r="AR159" s="29"/>
      <c r="AS159" s="29"/>
      <c r="AT159" s="29"/>
    </row>
    <row r="160" customFormat="false" ht="30" hidden="false" customHeight="true" outlineLevel="0" collapsed="false">
      <c r="A160" s="25" t="n">
        <v>153</v>
      </c>
      <c r="B160" s="27" t="s">
        <v>241</v>
      </c>
      <c r="C160" s="49" t="s">
        <v>249</v>
      </c>
      <c r="D160" s="134"/>
      <c r="E160" s="135" t="n">
        <v>120</v>
      </c>
      <c r="F16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346.5582</v>
      </c>
      <c r="G160" s="135"/>
      <c r="H160" s="130" t="n">
        <v>2</v>
      </c>
      <c r="I160" s="26" t="n">
        <f aca="false">Tabela43[[#This Row],[Kolumna5]]*20700*0.27778</f>
        <v>11500.092</v>
      </c>
      <c r="J160" s="130"/>
      <c r="K160" s="130"/>
      <c r="L160" s="28" t="n">
        <f aca="false">Tabela43[[#This Row],[Kolumna8]]*0.000843882*40190*0.27778</f>
        <v>0</v>
      </c>
      <c r="M160" s="130"/>
      <c r="N160" s="146" t="n">
        <f aca="false">Tabela43[[#This Row],[Kolumna84]]/2.55</f>
        <v>0</v>
      </c>
      <c r="O160" s="28" t="n">
        <f aca="false">Tabela43[[#This Row],[Kolumna82]]*35.94*0.27778</f>
        <v>0</v>
      </c>
      <c r="P160" s="130"/>
      <c r="Q160" s="130"/>
      <c r="R160" s="130" t="n">
        <v>10</v>
      </c>
      <c r="S160" s="116" t="n">
        <f aca="false">Tabela43[[#This Row],[Kolumna92]]*0.65</f>
        <v>6.5</v>
      </c>
      <c r="T160" s="28" t="n">
        <f aca="false">Tabela43[[#This Row],[Kolumna10]]*15600*0.27778</f>
        <v>28166.892</v>
      </c>
      <c r="U160" s="130"/>
      <c r="V160" s="130"/>
      <c r="W160" s="130"/>
      <c r="X160" s="130" t="n">
        <v>160</v>
      </c>
      <c r="Y160" s="130" t="n">
        <f aca="false">Tabela43[[#This Row],[Kolumna1223]]*12</f>
        <v>1920</v>
      </c>
      <c r="Z160" s="28" t="n">
        <f aca="false">Tabela43[[#This Row],[Kolumna123]]/0.55</f>
        <v>3490.90909090909</v>
      </c>
      <c r="AA160" s="130"/>
      <c r="AB160" s="130"/>
      <c r="AC160" s="125" t="n">
        <f aca="false">Tabela54[[#This Row],[Kolumna22]]*12</f>
        <v>0</v>
      </c>
      <c r="AD160" s="122" t="n">
        <f aca="false">Tabela54[[#This Row],[Kolumna3]]/4.44</f>
        <v>0</v>
      </c>
      <c r="AE160" s="120" t="n">
        <f aca="false">Tabela54[[#This Row],[Kolumna23]]*Tabela54[[#This Row],[Kolumna63]]</f>
        <v>0</v>
      </c>
      <c r="AF160" s="120"/>
      <c r="AG160" s="122" t="n">
        <f aca="false">Tabela54[[#This Row],[Kolumna12]]*12</f>
        <v>0</v>
      </c>
      <c r="AH160" s="122" t="n">
        <f aca="false">Tabela54[[#This Row],[Kolumna222]]/1.59</f>
        <v>0</v>
      </c>
      <c r="AI160" s="119" t="n">
        <f aca="false">Tabela54[[#This Row],[Kolumna223]]*Tabela54[[#This Row],[Kolumna63]]</f>
        <v>0</v>
      </c>
      <c r="AJ160" s="119" t="n">
        <v>400</v>
      </c>
      <c r="AK160" s="122" t="n">
        <f aca="false">Tabela54[[#This Row],[Kolumna34]]*12</f>
        <v>4800</v>
      </c>
      <c r="AL160" s="122" t="n">
        <f aca="false">Tabela54[[#This Row],[Kolumna32]]/4.2</f>
        <v>1142.85714285714</v>
      </c>
      <c r="AM160" s="119" t="n">
        <f aca="false">Tabela54[[#This Row],[Kolumna322]]*Tabela54[[#This Row],[Kolumna63]]</f>
        <v>342.857142857143</v>
      </c>
      <c r="AN160" s="122"/>
      <c r="AO160" s="122" t="n">
        <f aca="false">Tabela54[[#This Row],[Kolumna5]]*Tabela54[[#This Row],[Kolumna63]]</f>
        <v>0</v>
      </c>
      <c r="AP160" s="53" t="n">
        <v>0.3</v>
      </c>
      <c r="AQ160" s="29"/>
      <c r="AR160" s="29"/>
      <c r="AS160" s="29"/>
      <c r="AT160" s="29"/>
    </row>
    <row r="161" customFormat="false" ht="30" hidden="false" customHeight="true" outlineLevel="0" collapsed="false">
      <c r="A161" s="25" t="n">
        <v>154</v>
      </c>
      <c r="B161" s="27" t="s">
        <v>241</v>
      </c>
      <c r="C161" s="49" t="s">
        <v>249</v>
      </c>
      <c r="D161" s="134"/>
      <c r="E161" s="135" t="n">
        <v>160</v>
      </c>
      <c r="F16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264.376995</v>
      </c>
      <c r="G161" s="135"/>
      <c r="H161" s="130" t="n">
        <v>4</v>
      </c>
      <c r="I161" s="26" t="n">
        <f aca="false">Tabela43[[#This Row],[Kolumna5]]*20700*0.27778</f>
        <v>23000.184</v>
      </c>
      <c r="J161" s="130"/>
      <c r="K161" s="130"/>
      <c r="L161" s="28" t="n">
        <f aca="false">Tabela43[[#This Row],[Kolumna8]]*0.000843882*40190*0.27778</f>
        <v>0</v>
      </c>
      <c r="M161" s="130"/>
      <c r="N161" s="146" t="n">
        <f aca="false">Tabela43[[#This Row],[Kolumna84]]/2.55</f>
        <v>0</v>
      </c>
      <c r="O161" s="28" t="n">
        <f aca="false">Tabela43[[#This Row],[Kolumna82]]*35.94*0.27778</f>
        <v>0</v>
      </c>
      <c r="P161" s="130"/>
      <c r="Q161" s="130"/>
      <c r="R161" s="130" t="n">
        <v>6</v>
      </c>
      <c r="S161" s="116" t="n">
        <f aca="false">Tabela43[[#This Row],[Kolumna92]]*0.65</f>
        <v>3.9</v>
      </c>
      <c r="T161" s="28" t="n">
        <f aca="false">Tabela43[[#This Row],[Kolumna10]]*15600*0.27778</f>
        <v>16900.1352</v>
      </c>
      <c r="U161" s="130"/>
      <c r="V161" s="130"/>
      <c r="W161" s="130"/>
      <c r="X161" s="130" t="n">
        <v>200</v>
      </c>
      <c r="Y161" s="130" t="n">
        <f aca="false">Tabela43[[#This Row],[Kolumna1223]]*12</f>
        <v>2400</v>
      </c>
      <c r="Z161" s="28" t="n">
        <f aca="false">Tabela43[[#This Row],[Kolumna123]]/0.55</f>
        <v>4363.63636363636</v>
      </c>
      <c r="AA161" s="130"/>
      <c r="AB161" s="130" t="n">
        <v>400</v>
      </c>
      <c r="AC161" s="125" t="n">
        <f aca="false">Tabela54[[#This Row],[Kolumna22]]*12</f>
        <v>4800</v>
      </c>
      <c r="AD161" s="122" t="n">
        <f aca="false">Tabela54[[#This Row],[Kolumna3]]/4.44</f>
        <v>1081.08108108108</v>
      </c>
      <c r="AE161" s="120" t="n">
        <f aca="false">Tabela54[[#This Row],[Kolumna23]]*Tabela54[[#This Row],[Kolumna63]]</f>
        <v>540.540540540541</v>
      </c>
      <c r="AF161" s="120"/>
      <c r="AG161" s="122" t="n">
        <f aca="false">Tabela54[[#This Row],[Kolumna12]]*12</f>
        <v>0</v>
      </c>
      <c r="AH161" s="122" t="n">
        <f aca="false">Tabela54[[#This Row],[Kolumna222]]/1.59</f>
        <v>0</v>
      </c>
      <c r="AI161" s="119" t="n">
        <f aca="false">Tabela54[[#This Row],[Kolumna223]]*Tabela54[[#This Row],[Kolumna63]]</f>
        <v>0</v>
      </c>
      <c r="AJ161" s="119"/>
      <c r="AK161" s="122" t="n">
        <f aca="false">Tabela54[[#This Row],[Kolumna34]]*12</f>
        <v>0</v>
      </c>
      <c r="AL161" s="122" t="n">
        <f aca="false">Tabela54[[#This Row],[Kolumna32]]/4.2</f>
        <v>0</v>
      </c>
      <c r="AM161" s="119" t="n">
        <f aca="false">Tabela54[[#This Row],[Kolumna322]]*Tabela54[[#This Row],[Kolumna63]]</f>
        <v>0</v>
      </c>
      <c r="AN161" s="122"/>
      <c r="AO161" s="122" t="n">
        <f aca="false">Tabela54[[#This Row],[Kolumna5]]*Tabela54[[#This Row],[Kolumna63]]</f>
        <v>0</v>
      </c>
      <c r="AP161" s="53" t="n">
        <v>0.5</v>
      </c>
      <c r="AQ161" s="29"/>
      <c r="AR161" s="29"/>
      <c r="AS161" s="29"/>
      <c r="AT161" s="29"/>
    </row>
    <row r="162" customFormat="false" ht="30" hidden="false" customHeight="true" outlineLevel="0" collapsed="false">
      <c r="A162" s="40" t="n">
        <v>155</v>
      </c>
      <c r="B162" s="27" t="s">
        <v>241</v>
      </c>
      <c r="C162" s="49" t="s">
        <v>249</v>
      </c>
      <c r="D162" s="134"/>
      <c r="E162" s="135" t="n">
        <v>180</v>
      </c>
      <c r="F16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173.742013333333</v>
      </c>
      <c r="G162" s="135"/>
      <c r="H162" s="130" t="n">
        <v>4</v>
      </c>
      <c r="I162" s="26" t="n">
        <f aca="false">Tabela43[[#This Row],[Kolumna5]]*20700*0.27778</f>
        <v>23000.184</v>
      </c>
      <c r="J162" s="130"/>
      <c r="K162" s="130"/>
      <c r="L162" s="28" t="n">
        <f aca="false">Tabela43[[#This Row],[Kolumna8]]*0.000843882*40190*0.27778</f>
        <v>0</v>
      </c>
      <c r="M162" s="130"/>
      <c r="N162" s="146" t="n">
        <f aca="false">Tabela43[[#This Row],[Kolumna84]]/2.55</f>
        <v>0</v>
      </c>
      <c r="O162" s="28" t="n">
        <f aca="false">Tabela43[[#This Row],[Kolumna82]]*35.94*0.27778</f>
        <v>0</v>
      </c>
      <c r="P162" s="130"/>
      <c r="Q162" s="130"/>
      <c r="R162" s="130" t="n">
        <v>2</v>
      </c>
      <c r="S162" s="116" t="n">
        <f aca="false">Tabela43[[#This Row],[Kolumna92]]*0.65</f>
        <v>1.3</v>
      </c>
      <c r="T162" s="28" t="n">
        <f aca="false">Tabela43[[#This Row],[Kolumna10]]*15600*0.27778</f>
        <v>5633.3784</v>
      </c>
      <c r="U162" s="130"/>
      <c r="V162" s="130"/>
      <c r="W162" s="130"/>
      <c r="X162" s="130" t="n">
        <v>220</v>
      </c>
      <c r="Y162" s="130" t="n">
        <f aca="false">Tabela43[[#This Row],[Kolumna1223]]*12</f>
        <v>2640</v>
      </c>
      <c r="Z162" s="28" t="n">
        <f aca="false">Tabela43[[#This Row],[Kolumna123]]/0.55</f>
        <v>4800</v>
      </c>
      <c r="AA162" s="130"/>
      <c r="AB162" s="130"/>
      <c r="AC162" s="125" t="n">
        <f aca="false">Tabela54[[#This Row],[Kolumna22]]*12</f>
        <v>0</v>
      </c>
      <c r="AD162" s="122" t="n">
        <f aca="false">Tabela54[[#This Row],[Kolumna3]]/4.44</f>
        <v>0</v>
      </c>
      <c r="AE162" s="120" t="n">
        <f aca="false">Tabela54[[#This Row],[Kolumna23]]*Tabela54[[#This Row],[Kolumna63]]</f>
        <v>0</v>
      </c>
      <c r="AF162" s="120" t="n">
        <v>300</v>
      </c>
      <c r="AG162" s="122" t="n">
        <f aca="false">Tabela54[[#This Row],[Kolumna12]]*12</f>
        <v>3600</v>
      </c>
      <c r="AH162" s="122" t="n">
        <f aca="false">Tabela54[[#This Row],[Kolumna222]]/1.59</f>
        <v>2264.15094339623</v>
      </c>
      <c r="AI162" s="119" t="n">
        <f aca="false">Tabela54[[#This Row],[Kolumna223]]*Tabela54[[#This Row],[Kolumna63]]</f>
        <v>1132.07547169811</v>
      </c>
      <c r="AJ162" s="119" t="n">
        <v>400</v>
      </c>
      <c r="AK162" s="122" t="n">
        <f aca="false">Tabela54[[#This Row],[Kolumna34]]*12</f>
        <v>4800</v>
      </c>
      <c r="AL162" s="122" t="n">
        <f aca="false">Tabela54[[#This Row],[Kolumna32]]/4.2</f>
        <v>1142.85714285714</v>
      </c>
      <c r="AM162" s="119" t="n">
        <f aca="false">Tabela54[[#This Row],[Kolumna322]]*Tabela54[[#This Row],[Kolumna63]]</f>
        <v>571.428571428571</v>
      </c>
      <c r="AN162" s="122"/>
      <c r="AO162" s="122" t="n">
        <f aca="false">Tabela54[[#This Row],[Kolumna5]]*Tabela54[[#This Row],[Kolumna63]]</f>
        <v>0</v>
      </c>
      <c r="AP162" s="53" t="n">
        <v>0.5</v>
      </c>
      <c r="AQ162" s="29"/>
      <c r="AR162" s="29"/>
      <c r="AS162" s="29"/>
      <c r="AT162" s="29"/>
    </row>
    <row r="163" customFormat="false" ht="30" hidden="false" customHeight="true" outlineLevel="0" collapsed="false">
      <c r="A163" s="25" t="n">
        <v>156</v>
      </c>
      <c r="B163" s="27" t="s">
        <v>241</v>
      </c>
      <c r="C163" s="49" t="s">
        <v>249</v>
      </c>
      <c r="D163" s="134"/>
      <c r="E163" s="135" t="n">
        <v>80</v>
      </c>
      <c r="F16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449.50338</v>
      </c>
      <c r="G163" s="135"/>
      <c r="H163" s="130"/>
      <c r="I163" s="26" t="n">
        <f aca="false">Tabela43[[#This Row],[Kolumna5]]*20700*0.27778</f>
        <v>0</v>
      </c>
      <c r="J163" s="130"/>
      <c r="K163" s="130"/>
      <c r="L163" s="28" t="n">
        <f aca="false">Tabela43[[#This Row],[Kolumna8]]*0.000843882*40190*0.27778</f>
        <v>0</v>
      </c>
      <c r="M163" s="130"/>
      <c r="N163" s="146" t="n">
        <f aca="false">Tabela43[[#This Row],[Kolumna84]]/2.55</f>
        <v>0</v>
      </c>
      <c r="O163" s="28" t="n">
        <f aca="false">Tabela43[[#This Row],[Kolumna82]]*35.94*0.27778</f>
        <v>0</v>
      </c>
      <c r="P163" s="130"/>
      <c r="Q163" s="130"/>
      <c r="R163" s="130" t="n">
        <v>12</v>
      </c>
      <c r="S163" s="116" t="n">
        <f aca="false">Tabela43[[#This Row],[Kolumna92]]*0.65</f>
        <v>7.8</v>
      </c>
      <c r="T163" s="28" t="n">
        <f aca="false">Tabela43[[#This Row],[Kolumna10]]*15600*0.27778</f>
        <v>33800.2704</v>
      </c>
      <c r="U163" s="130"/>
      <c r="V163" s="130"/>
      <c r="W163" s="130"/>
      <c r="X163" s="130" t="n">
        <v>180</v>
      </c>
      <c r="Y163" s="130" t="n">
        <f aca="false">Tabela43[[#This Row],[Kolumna1223]]*12</f>
        <v>2160</v>
      </c>
      <c r="Z163" s="28" t="n">
        <f aca="false">Tabela43[[#This Row],[Kolumna123]]/0.55</f>
        <v>3927.27272727273</v>
      </c>
      <c r="AA163" s="130"/>
      <c r="AB163" s="130"/>
      <c r="AC163" s="125" t="n">
        <f aca="false">Tabela54[[#This Row],[Kolumna22]]*12</f>
        <v>0</v>
      </c>
      <c r="AD163" s="122" t="n">
        <f aca="false">Tabela54[[#This Row],[Kolumna3]]/4.44</f>
        <v>0</v>
      </c>
      <c r="AE163" s="120" t="n">
        <f aca="false">Tabela54[[#This Row],[Kolumna23]]*Tabela54[[#This Row],[Kolumna63]]</f>
        <v>0</v>
      </c>
      <c r="AF163" s="120"/>
      <c r="AG163" s="122" t="n">
        <f aca="false">Tabela54[[#This Row],[Kolumna12]]*12</f>
        <v>0</v>
      </c>
      <c r="AH163" s="122" t="n">
        <f aca="false">Tabela54[[#This Row],[Kolumna222]]/1.59</f>
        <v>0</v>
      </c>
      <c r="AI163" s="119" t="n">
        <f aca="false">Tabela54[[#This Row],[Kolumna223]]*Tabela54[[#This Row],[Kolumna63]]</f>
        <v>0</v>
      </c>
      <c r="AJ163" s="119" t="n">
        <v>300</v>
      </c>
      <c r="AK163" s="122" t="n">
        <f aca="false">Tabela54[[#This Row],[Kolumna34]]*12</f>
        <v>3600</v>
      </c>
      <c r="AL163" s="122" t="n">
        <f aca="false">Tabela54[[#This Row],[Kolumna32]]/4.2</f>
        <v>857.142857142857</v>
      </c>
      <c r="AM163" s="119" t="n">
        <f aca="false">Tabela54[[#This Row],[Kolumna322]]*Tabela54[[#This Row],[Kolumna63]]</f>
        <v>342.857142857143</v>
      </c>
      <c r="AN163" s="122"/>
      <c r="AO163" s="122" t="n">
        <f aca="false">Tabela54[[#This Row],[Kolumna5]]*Tabela54[[#This Row],[Kolumna63]]</f>
        <v>0</v>
      </c>
      <c r="AP163" s="53" t="n">
        <v>0.4</v>
      </c>
      <c r="AQ163" s="29"/>
      <c r="AR163" s="29"/>
      <c r="AS163" s="29"/>
      <c r="AT163" s="29"/>
    </row>
    <row r="164" customFormat="false" ht="27" hidden="false" customHeight="true" outlineLevel="0" collapsed="false">
      <c r="A164" s="25" t="n">
        <v>157</v>
      </c>
      <c r="B164" s="27" t="s">
        <v>241</v>
      </c>
      <c r="C164" s="49" t="s">
        <v>249</v>
      </c>
      <c r="D164" s="134"/>
      <c r="E164" s="135" t="n">
        <v>120</v>
      </c>
      <c r="F16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251.66856</v>
      </c>
      <c r="G164" s="135"/>
      <c r="H164" s="130" t="n">
        <v>2</v>
      </c>
      <c r="I164" s="26" t="n">
        <f aca="false">Tabela43[[#This Row],[Kolumna5]]*20700*0.27778</f>
        <v>11500.092</v>
      </c>
      <c r="J164" s="130"/>
      <c r="K164" s="130"/>
      <c r="L164" s="28" t="n">
        <f aca="false">Tabela43[[#This Row],[Kolumna8]]*0.000843882*40190*0.27778</f>
        <v>0</v>
      </c>
      <c r="M164" s="130"/>
      <c r="N164" s="146" t="n">
        <f aca="false">Tabela43[[#This Row],[Kolumna84]]/2.55</f>
        <v>0</v>
      </c>
      <c r="O164" s="28" t="n">
        <f aca="false">Tabela43[[#This Row],[Kolumna82]]*35.94*0.27778</f>
        <v>0</v>
      </c>
      <c r="P164" s="130"/>
      <c r="Q164" s="130"/>
      <c r="R164" s="130" t="n">
        <v>6</v>
      </c>
      <c r="S164" s="116" t="n">
        <f aca="false">Tabela43[[#This Row],[Kolumna92]]*0.65</f>
        <v>3.9</v>
      </c>
      <c r="T164" s="28" t="n">
        <f aca="false">Tabela43[[#This Row],[Kolumna10]]*15600*0.27778</f>
        <v>16900.1352</v>
      </c>
      <c r="U164" s="130"/>
      <c r="V164" s="130"/>
      <c r="W164" s="130"/>
      <c r="X164" s="130" t="n">
        <v>150</v>
      </c>
      <c r="Y164" s="130" t="n">
        <f aca="false">Tabela43[[#This Row],[Kolumna1223]]*12</f>
        <v>1800</v>
      </c>
      <c r="Z164" s="28" t="n">
        <f aca="false">Tabela43[[#This Row],[Kolumna123]]/0.55</f>
        <v>3272.72727272727</v>
      </c>
      <c r="AA164" s="130"/>
      <c r="AB164" s="130"/>
      <c r="AC164" s="125" t="n">
        <f aca="false">Tabela54[[#This Row],[Kolumna22]]*12</f>
        <v>0</v>
      </c>
      <c r="AD164" s="122" t="n">
        <f aca="false">Tabela54[[#This Row],[Kolumna3]]/4.44</f>
        <v>0</v>
      </c>
      <c r="AE164" s="120" t="n">
        <f aca="false">Tabela54[[#This Row],[Kolumna23]]*Tabela54[[#This Row],[Kolumna63]]</f>
        <v>0</v>
      </c>
      <c r="AF164" s="120"/>
      <c r="AG164" s="122" t="n">
        <f aca="false">Tabela54[[#This Row],[Kolumna12]]*12</f>
        <v>0</v>
      </c>
      <c r="AH164" s="122" t="n">
        <f aca="false">Tabela54[[#This Row],[Kolumna222]]/1.59</f>
        <v>0</v>
      </c>
      <c r="AI164" s="119" t="n">
        <f aca="false">Tabela54[[#This Row],[Kolumna223]]*Tabela54[[#This Row],[Kolumna63]]</f>
        <v>0</v>
      </c>
      <c r="AJ164" s="119" t="n">
        <v>400</v>
      </c>
      <c r="AK164" s="122" t="n">
        <f aca="false">Tabela54[[#This Row],[Kolumna34]]*12</f>
        <v>4800</v>
      </c>
      <c r="AL164" s="122" t="n">
        <f aca="false">Tabela54[[#This Row],[Kolumna32]]/4.2</f>
        <v>1142.85714285714</v>
      </c>
      <c r="AM164" s="119" t="n">
        <f aca="false">Tabela54[[#This Row],[Kolumna322]]*Tabela54[[#This Row],[Kolumna63]]</f>
        <v>228.571428571429</v>
      </c>
      <c r="AN164" s="122"/>
      <c r="AO164" s="122" t="n">
        <f aca="false">Tabela54[[#This Row],[Kolumna5]]*Tabela54[[#This Row],[Kolumna63]]</f>
        <v>0</v>
      </c>
      <c r="AP164" s="53" t="n">
        <v>0.2</v>
      </c>
      <c r="AQ164" s="29"/>
      <c r="AR164" s="29"/>
      <c r="AS164" s="29"/>
      <c r="AT164" s="29"/>
    </row>
    <row r="165" customFormat="false" ht="28.5" hidden="false" customHeight="true" outlineLevel="0" collapsed="false">
      <c r="A165" s="40" t="n">
        <v>158</v>
      </c>
      <c r="B165" s="27" t="s">
        <v>241</v>
      </c>
      <c r="C165" s="49" t="s">
        <v>249</v>
      </c>
      <c r="D165" s="134"/>
      <c r="E165" s="135" t="n">
        <v>120</v>
      </c>
      <c r="F16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250.61302</v>
      </c>
      <c r="G165" s="135"/>
      <c r="H165" s="130" t="n">
        <v>4</v>
      </c>
      <c r="I165" s="26" t="n">
        <f aca="false">Tabela43[[#This Row],[Kolumna5]]*20700*0.27778</f>
        <v>23000.184</v>
      </c>
      <c r="J165" s="130"/>
      <c r="K165" s="130"/>
      <c r="L165" s="28" t="n">
        <f aca="false">Tabela43[[#This Row],[Kolumna8]]*0.000843882*40190*0.27778</f>
        <v>0</v>
      </c>
      <c r="M165" s="130"/>
      <c r="N165" s="146" t="n">
        <f aca="false">Tabela43[[#This Row],[Kolumna84]]/2.55</f>
        <v>0</v>
      </c>
      <c r="O165" s="28" t="n">
        <f aca="false">Tabela43[[#This Row],[Kolumna82]]*35.94*0.27778</f>
        <v>0</v>
      </c>
      <c r="P165" s="130"/>
      <c r="Q165" s="130"/>
      <c r="R165" s="130" t="n">
        <v>2</v>
      </c>
      <c r="S165" s="116" t="n">
        <f aca="false">Tabela43[[#This Row],[Kolumna92]]*0.65</f>
        <v>1.3</v>
      </c>
      <c r="T165" s="28" t="n">
        <f aca="false">Tabela43[[#This Row],[Kolumna10]]*15600*0.27778</f>
        <v>5633.3784</v>
      </c>
      <c r="U165" s="130"/>
      <c r="V165" s="130"/>
      <c r="W165" s="130"/>
      <c r="X165" s="130" t="n">
        <v>120</v>
      </c>
      <c r="Y165" s="130" t="n">
        <f aca="false">Tabela43[[#This Row],[Kolumna1223]]*12</f>
        <v>1440</v>
      </c>
      <c r="Z165" s="28" t="n">
        <f aca="false">Tabela43[[#This Row],[Kolumna123]]/0.55</f>
        <v>2618.18181818182</v>
      </c>
      <c r="AA165" s="130"/>
      <c r="AB165" s="130"/>
      <c r="AC165" s="125" t="n">
        <f aca="false">Tabela54[[#This Row],[Kolumna22]]*12</f>
        <v>0</v>
      </c>
      <c r="AD165" s="122" t="n">
        <f aca="false">Tabela54[[#This Row],[Kolumna3]]/4.44</f>
        <v>0</v>
      </c>
      <c r="AE165" s="120" t="n">
        <f aca="false">Tabela54[[#This Row],[Kolumna23]]*Tabela54[[#This Row],[Kolumna63]]</f>
        <v>0</v>
      </c>
      <c r="AF165" s="120"/>
      <c r="AG165" s="122" t="n">
        <f aca="false">Tabela54[[#This Row],[Kolumna12]]*12</f>
        <v>0</v>
      </c>
      <c r="AH165" s="122" t="n">
        <f aca="false">Tabela54[[#This Row],[Kolumna222]]/1.59</f>
        <v>0</v>
      </c>
      <c r="AI165" s="119" t="n">
        <f aca="false">Tabela54[[#This Row],[Kolumna223]]*Tabela54[[#This Row],[Kolumna63]]</f>
        <v>0</v>
      </c>
      <c r="AJ165" s="119" t="n">
        <v>200</v>
      </c>
      <c r="AK165" s="122" t="n">
        <f aca="false">Tabela54[[#This Row],[Kolumna34]]*12</f>
        <v>2400</v>
      </c>
      <c r="AL165" s="122" t="n">
        <f aca="false">Tabela54[[#This Row],[Kolumna32]]/4.2</f>
        <v>571.428571428571</v>
      </c>
      <c r="AM165" s="119" t="n">
        <f aca="false">Tabela54[[#This Row],[Kolumna322]]*Tabela54[[#This Row],[Kolumna63]]</f>
        <v>57.1428571428571</v>
      </c>
      <c r="AN165" s="122"/>
      <c r="AO165" s="122" t="n">
        <f aca="false">Tabela54[[#This Row],[Kolumna5]]*Tabela54[[#This Row],[Kolumna63]]</f>
        <v>0</v>
      </c>
      <c r="AP165" s="53" t="n">
        <v>0.1</v>
      </c>
      <c r="AQ165" s="29"/>
      <c r="AR165" s="29"/>
      <c r="AS165" s="29"/>
      <c r="AT165" s="29"/>
    </row>
    <row r="166" customFormat="false" ht="30" hidden="false" customHeight="true" outlineLevel="0" collapsed="false">
      <c r="A166" s="25" t="n">
        <v>159</v>
      </c>
      <c r="B166" s="27" t="s">
        <v>241</v>
      </c>
      <c r="C166" s="49" t="s">
        <v>249</v>
      </c>
      <c r="D166" s="134"/>
      <c r="E166" s="135" t="n">
        <v>200</v>
      </c>
      <c r="F16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270.202056</v>
      </c>
      <c r="G166" s="135"/>
      <c r="H166" s="130" t="n">
        <v>6</v>
      </c>
      <c r="I166" s="26" t="n">
        <f aca="false">Tabela43[[#This Row],[Kolumna5]]*20700*0.27778</f>
        <v>34500.276</v>
      </c>
      <c r="J166" s="130"/>
      <c r="K166" s="130"/>
      <c r="L166" s="28" t="n">
        <f aca="false">Tabela43[[#This Row],[Kolumna8]]*0.000843882*40190*0.27778</f>
        <v>0</v>
      </c>
      <c r="M166" s="130"/>
      <c r="N166" s="146" t="n">
        <f aca="false">Tabela43[[#This Row],[Kolumna84]]/2.55</f>
        <v>0</v>
      </c>
      <c r="O166" s="28" t="n">
        <f aca="false">Tabela43[[#This Row],[Kolumna82]]*35.94*0.27778</f>
        <v>0</v>
      </c>
      <c r="P166" s="130"/>
      <c r="Q166" s="130"/>
      <c r="R166" s="130" t="n">
        <v>6</v>
      </c>
      <c r="S166" s="116" t="n">
        <f aca="false">Tabela43[[#This Row],[Kolumna92]]*0.65</f>
        <v>3.9</v>
      </c>
      <c r="T166" s="28" t="n">
        <f aca="false">Tabela43[[#This Row],[Kolumna10]]*15600*0.27778</f>
        <v>16900.1352</v>
      </c>
      <c r="U166" s="130"/>
      <c r="V166" s="130"/>
      <c r="W166" s="130"/>
      <c r="X166" s="130" t="n">
        <v>220</v>
      </c>
      <c r="Y166" s="130" t="n">
        <f aca="false">Tabela43[[#This Row],[Kolumna1223]]*12</f>
        <v>2640</v>
      </c>
      <c r="Z166" s="28" t="n">
        <f aca="false">Tabela43[[#This Row],[Kolumna123]]/0.55</f>
        <v>4800</v>
      </c>
      <c r="AA166" s="130"/>
      <c r="AB166" s="130"/>
      <c r="AC166" s="125" t="n">
        <f aca="false">Tabela54[[#This Row],[Kolumna22]]*12</f>
        <v>0</v>
      </c>
      <c r="AD166" s="122" t="n">
        <f aca="false">Tabela54[[#This Row],[Kolumna3]]/4.44</f>
        <v>0</v>
      </c>
      <c r="AE166" s="120" t="n">
        <f aca="false">Tabela54[[#This Row],[Kolumna23]]*Tabela54[[#This Row],[Kolumna63]]</f>
        <v>0</v>
      </c>
      <c r="AF166" s="120"/>
      <c r="AG166" s="122" t="n">
        <f aca="false">Tabela54[[#This Row],[Kolumna12]]*12</f>
        <v>0</v>
      </c>
      <c r="AH166" s="122" t="n">
        <f aca="false">Tabela54[[#This Row],[Kolumna222]]/1.59</f>
        <v>0</v>
      </c>
      <c r="AI166" s="119" t="n">
        <f aca="false">Tabela54[[#This Row],[Kolumna223]]*Tabela54[[#This Row],[Kolumna63]]</f>
        <v>0</v>
      </c>
      <c r="AJ166" s="119" t="n">
        <v>300</v>
      </c>
      <c r="AK166" s="122" t="n">
        <f aca="false">Tabela54[[#This Row],[Kolumna34]]*12</f>
        <v>3600</v>
      </c>
      <c r="AL166" s="122" t="n">
        <f aca="false">Tabela54[[#This Row],[Kolumna32]]/4.2</f>
        <v>857.142857142857</v>
      </c>
      <c r="AM166" s="119" t="n">
        <f aca="false">Tabela54[[#This Row],[Kolumna322]]*Tabela54[[#This Row],[Kolumna63]]</f>
        <v>257.142857142857</v>
      </c>
      <c r="AN166" s="122"/>
      <c r="AO166" s="122" t="n">
        <f aca="false">Tabela54[[#This Row],[Kolumna5]]*Tabela54[[#This Row],[Kolumna63]]</f>
        <v>0</v>
      </c>
      <c r="AP166" s="53" t="n">
        <v>0.3</v>
      </c>
      <c r="AQ166" s="29"/>
      <c r="AR166" s="29"/>
      <c r="AS166" s="29"/>
      <c r="AT166" s="29"/>
    </row>
    <row r="167" customFormat="false" ht="29.25" hidden="false" customHeight="true" outlineLevel="0" collapsed="false">
      <c r="A167" s="25" t="n">
        <v>160</v>
      </c>
      <c r="B167" s="27" t="s">
        <v>241</v>
      </c>
      <c r="C167" s="49" t="s">
        <v>249</v>
      </c>
      <c r="D167" s="134"/>
      <c r="E167" s="135" t="n">
        <v>260</v>
      </c>
      <c r="F16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215.681072307692</v>
      </c>
      <c r="G167" s="135"/>
      <c r="H167" s="130" t="n">
        <v>7</v>
      </c>
      <c r="I167" s="26" t="n">
        <f aca="false">Tabela43[[#This Row],[Kolumna5]]*20700*0.27778</f>
        <v>40250.322</v>
      </c>
      <c r="J167" s="130"/>
      <c r="K167" s="130"/>
      <c r="L167" s="28" t="n">
        <f aca="false">Tabela43[[#This Row],[Kolumna8]]*0.000843882*40190*0.27778</f>
        <v>0</v>
      </c>
      <c r="M167" s="130"/>
      <c r="N167" s="146" t="n">
        <f aca="false">Tabela43[[#This Row],[Kolumna84]]/2.55</f>
        <v>0</v>
      </c>
      <c r="O167" s="28" t="n">
        <f aca="false">Tabela43[[#This Row],[Kolumna82]]*35.94*0.27778</f>
        <v>0</v>
      </c>
      <c r="P167" s="130"/>
      <c r="Q167" s="130"/>
      <c r="R167" s="130" t="n">
        <v>4</v>
      </c>
      <c r="S167" s="116" t="n">
        <f aca="false">Tabela43[[#This Row],[Kolumna92]]*0.65</f>
        <v>2.6</v>
      </c>
      <c r="T167" s="28" t="n">
        <f aca="false">Tabela43[[#This Row],[Kolumna10]]*15600*0.27778</f>
        <v>11266.7568</v>
      </c>
      <c r="U167" s="130"/>
      <c r="V167" s="130"/>
      <c r="W167" s="130"/>
      <c r="X167" s="130" t="n">
        <v>380</v>
      </c>
      <c r="Y167" s="130" t="n">
        <f aca="false">Tabela43[[#This Row],[Kolumna1223]]*12</f>
        <v>4560</v>
      </c>
      <c r="Z167" s="28" t="n">
        <f aca="false">Tabela43[[#This Row],[Kolumna123]]/0.55</f>
        <v>8290.90909090909</v>
      </c>
      <c r="AA167" s="130"/>
      <c r="AB167" s="130"/>
      <c r="AC167" s="125" t="n">
        <f aca="false">Tabela54[[#This Row],[Kolumna22]]*12</f>
        <v>0</v>
      </c>
      <c r="AD167" s="122" t="n">
        <f aca="false">Tabela54[[#This Row],[Kolumna3]]/4.44</f>
        <v>0</v>
      </c>
      <c r="AE167" s="120" t="n">
        <f aca="false">Tabela54[[#This Row],[Kolumna23]]*Tabela54[[#This Row],[Kolumna63]]</f>
        <v>0</v>
      </c>
      <c r="AF167" s="120" t="n">
        <v>150</v>
      </c>
      <c r="AG167" s="122" t="n">
        <f aca="false">Tabela54[[#This Row],[Kolumna12]]*12</f>
        <v>1800</v>
      </c>
      <c r="AH167" s="122" t="n">
        <f aca="false">Tabela54[[#This Row],[Kolumna222]]/1.59</f>
        <v>1132.07547169811</v>
      </c>
      <c r="AI167" s="119" t="n">
        <f aca="false">Tabela54[[#This Row],[Kolumna223]]*Tabela54[[#This Row],[Kolumna63]]</f>
        <v>566.037735849057</v>
      </c>
      <c r="AJ167" s="119" t="n">
        <v>400</v>
      </c>
      <c r="AK167" s="122" t="n">
        <f aca="false">Tabela54[[#This Row],[Kolumna34]]*12</f>
        <v>4800</v>
      </c>
      <c r="AL167" s="122" t="n">
        <f aca="false">Tabela54[[#This Row],[Kolumna32]]/4.2</f>
        <v>1142.85714285714</v>
      </c>
      <c r="AM167" s="119" t="n">
        <f aca="false">Tabela54[[#This Row],[Kolumna322]]*Tabela54[[#This Row],[Kolumna63]]</f>
        <v>571.428571428571</v>
      </c>
      <c r="AN167" s="122"/>
      <c r="AO167" s="122" t="n">
        <f aca="false">Tabela54[[#This Row],[Kolumna5]]*Tabela54[[#This Row],[Kolumna63]]</f>
        <v>0</v>
      </c>
      <c r="AP167" s="53" t="n">
        <v>0.5</v>
      </c>
      <c r="AQ167" s="29"/>
      <c r="AR167" s="29"/>
      <c r="AS167" s="29"/>
      <c r="AT167" s="29"/>
    </row>
    <row r="168" customFormat="false" ht="27" hidden="false" customHeight="true" outlineLevel="0" collapsed="false">
      <c r="A168" s="40" t="n">
        <v>161</v>
      </c>
      <c r="B168" s="27" t="s">
        <v>241</v>
      </c>
      <c r="C168" s="49" t="s">
        <v>249</v>
      </c>
      <c r="D168" s="134"/>
      <c r="E168" s="135" t="n">
        <v>120</v>
      </c>
      <c r="F16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213.7532</v>
      </c>
      <c r="G168" s="135"/>
      <c r="H168" s="130"/>
      <c r="I168" s="26" t="n">
        <f aca="false">Tabela43[[#This Row],[Kolumna5]]*20700*0.27778</f>
        <v>0</v>
      </c>
      <c r="J168" s="130"/>
      <c r="K168" s="130"/>
      <c r="L168" s="28" t="n">
        <f aca="false">Tabela43[[#This Row],[Kolumna8]]*0.000843882*40190*0.27778</f>
        <v>0</v>
      </c>
      <c r="M168" s="130" t="n">
        <f aca="false">500*12</f>
        <v>6000</v>
      </c>
      <c r="N168" s="146" t="n">
        <f aca="false">Tabela43[[#This Row],[Kolumna84]]/2.55</f>
        <v>2352.94117647059</v>
      </c>
      <c r="O168" s="28" t="n">
        <f aca="false">Tabela43[[#This Row],[Kolumna82]]*35.94*0.27778</f>
        <v>23490.384</v>
      </c>
      <c r="P168" s="130"/>
      <c r="Q168" s="130"/>
      <c r="R168" s="130"/>
      <c r="S168" s="116" t="n">
        <f aca="false">Tabela43[[#This Row],[Kolumna92]]*0.65</f>
        <v>0</v>
      </c>
      <c r="T168" s="28" t="n">
        <f aca="false">Tabela43[[#This Row],[Kolumna10]]*15600*0.27778</f>
        <v>0</v>
      </c>
      <c r="U168" s="130"/>
      <c r="V168" s="130"/>
      <c r="W168" s="130"/>
      <c r="X168" s="130" t="n">
        <v>180</v>
      </c>
      <c r="Y168" s="130" t="n">
        <f aca="false">Tabela43[[#This Row],[Kolumna1223]]*12</f>
        <v>2160</v>
      </c>
      <c r="Z168" s="28" t="n">
        <f aca="false">Tabela43[[#This Row],[Kolumna123]]/0.55</f>
        <v>3927.27272727273</v>
      </c>
      <c r="AA168" s="130"/>
      <c r="AB168" s="130" t="n">
        <v>400</v>
      </c>
      <c r="AC168" s="125" t="n">
        <f aca="false">Tabela54[[#This Row],[Kolumna22]]*12</f>
        <v>4800</v>
      </c>
      <c r="AD168" s="122" t="n">
        <f aca="false">Tabela54[[#This Row],[Kolumna3]]/4.44</f>
        <v>1081.08108108108</v>
      </c>
      <c r="AE168" s="120" t="n">
        <f aca="false">Tabela54[[#This Row],[Kolumna23]]*Tabela54[[#This Row],[Kolumna63]]</f>
        <v>324.324324324324</v>
      </c>
      <c r="AF168" s="120"/>
      <c r="AG168" s="122" t="n">
        <f aca="false">Tabela54[[#This Row],[Kolumna12]]*12</f>
        <v>0</v>
      </c>
      <c r="AH168" s="122" t="n">
        <f aca="false">Tabela54[[#This Row],[Kolumna222]]/1.59</f>
        <v>0</v>
      </c>
      <c r="AI168" s="119" t="n">
        <f aca="false">Tabela54[[#This Row],[Kolumna223]]*Tabela54[[#This Row],[Kolumna63]]</f>
        <v>0</v>
      </c>
      <c r="AJ168" s="119"/>
      <c r="AK168" s="122" t="n">
        <f aca="false">Tabela54[[#This Row],[Kolumna34]]*12</f>
        <v>0</v>
      </c>
      <c r="AL168" s="122" t="n">
        <f aca="false">Tabela54[[#This Row],[Kolumna32]]/4.2</f>
        <v>0</v>
      </c>
      <c r="AM168" s="119" t="n">
        <f aca="false">Tabela54[[#This Row],[Kolumna322]]*Tabela54[[#This Row],[Kolumna63]]</f>
        <v>0</v>
      </c>
      <c r="AN168" s="122"/>
      <c r="AO168" s="122" t="n">
        <f aca="false">Tabela54[[#This Row],[Kolumna5]]*Tabela54[[#This Row],[Kolumna63]]</f>
        <v>0</v>
      </c>
      <c r="AP168" s="53" t="n">
        <v>0.3</v>
      </c>
      <c r="AQ168" s="29"/>
      <c r="AR168" s="29"/>
      <c r="AS168" s="29"/>
      <c r="AT168" s="29"/>
    </row>
    <row r="169" customFormat="false" ht="30" hidden="false" customHeight="true" outlineLevel="0" collapsed="false">
      <c r="A169" s="25" t="n">
        <v>162</v>
      </c>
      <c r="B169" s="27" t="s">
        <v>241</v>
      </c>
      <c r="C169" s="49" t="s">
        <v>249</v>
      </c>
      <c r="D169" s="134"/>
      <c r="E169" s="135" t="n">
        <v>200</v>
      </c>
      <c r="F16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173.83446</v>
      </c>
      <c r="G169" s="135"/>
      <c r="H169" s="130"/>
      <c r="I169" s="26" t="n">
        <f aca="false">Tabela43[[#This Row],[Kolumna5]]*20700*0.27778</f>
        <v>0</v>
      </c>
      <c r="J169" s="130"/>
      <c r="K169" s="130"/>
      <c r="L169" s="28" t="n">
        <f aca="false">Tabela43[[#This Row],[Kolumna8]]*0.000843882*40190*0.27778</f>
        <v>0</v>
      </c>
      <c r="M169" s="130"/>
      <c r="N169" s="146" t="n">
        <f aca="false">Tabela43[[#This Row],[Kolumna84]]/2.55</f>
        <v>0</v>
      </c>
      <c r="O169" s="28" t="n">
        <f aca="false">Tabela43[[#This Row],[Kolumna82]]*35.94*0.27778</f>
        <v>0</v>
      </c>
      <c r="P169" s="130"/>
      <c r="Q169" s="130"/>
      <c r="R169" s="130" t="n">
        <v>10</v>
      </c>
      <c r="S169" s="116" t="n">
        <f aca="false">Tabela43[[#This Row],[Kolumna92]]*0.65</f>
        <v>6.5</v>
      </c>
      <c r="T169" s="28" t="n">
        <f aca="false">Tabela43[[#This Row],[Kolumna10]]*15600*0.27778</f>
        <v>28166.892</v>
      </c>
      <c r="U169" s="130" t="n">
        <v>3600</v>
      </c>
      <c r="V169" s="130"/>
      <c r="W169" s="130"/>
      <c r="X169" s="130" t="n">
        <v>250</v>
      </c>
      <c r="Y169" s="130" t="n">
        <f aca="false">Tabela43[[#This Row],[Kolumna1223]]*12</f>
        <v>3000</v>
      </c>
      <c r="Z169" s="28" t="n">
        <f aca="false">Tabela43[[#This Row],[Kolumna123]]/0.55</f>
        <v>5454.54545454545</v>
      </c>
      <c r="AA169" s="130"/>
      <c r="AB169" s="130" t="n">
        <v>300</v>
      </c>
      <c r="AC169" s="125" t="n">
        <f aca="false">Tabela54[[#This Row],[Kolumna22]]*12</f>
        <v>3600</v>
      </c>
      <c r="AD169" s="122" t="n">
        <f aca="false">Tabela54[[#This Row],[Kolumna3]]/4.44</f>
        <v>810.810810810811</v>
      </c>
      <c r="AE169" s="120" t="n">
        <f aca="false">Tabela54[[#This Row],[Kolumna23]]*Tabela54[[#This Row],[Kolumna63]]</f>
        <v>364.864864864865</v>
      </c>
      <c r="AF169" s="120" t="n">
        <v>100</v>
      </c>
      <c r="AG169" s="122" t="n">
        <f aca="false">Tabela54[[#This Row],[Kolumna12]]*12</f>
        <v>1200</v>
      </c>
      <c r="AH169" s="122" t="n">
        <f aca="false">Tabela54[[#This Row],[Kolumna222]]/1.59</f>
        <v>754.716981132076</v>
      </c>
      <c r="AI169" s="119" t="n">
        <f aca="false">Tabela54[[#This Row],[Kolumna223]]*Tabela54[[#This Row],[Kolumna63]]</f>
        <v>339.622641509434</v>
      </c>
      <c r="AJ169" s="119" t="n">
        <v>150</v>
      </c>
      <c r="AK169" s="122" t="n">
        <f aca="false">Tabela54[[#This Row],[Kolumna34]]*12</f>
        <v>1800</v>
      </c>
      <c r="AL169" s="122" t="n">
        <f aca="false">Tabela54[[#This Row],[Kolumna32]]/4.2</f>
        <v>428.571428571429</v>
      </c>
      <c r="AM169" s="119" t="n">
        <f aca="false">Tabela54[[#This Row],[Kolumna322]]*Tabela54[[#This Row],[Kolumna63]]</f>
        <v>192.857142857143</v>
      </c>
      <c r="AN169" s="122"/>
      <c r="AO169" s="122" t="n">
        <f aca="false">Tabela54[[#This Row],[Kolumna5]]*Tabela54[[#This Row],[Kolumna63]]</f>
        <v>0</v>
      </c>
      <c r="AP169" s="53" t="n">
        <v>0.45</v>
      </c>
      <c r="AQ169" s="29"/>
      <c r="AR169" s="29"/>
      <c r="AS169" s="29"/>
      <c r="AT169" s="29"/>
    </row>
    <row r="170" customFormat="false" ht="26.25" hidden="false" customHeight="true" outlineLevel="0" collapsed="false">
      <c r="A170" s="25" t="n">
        <v>163</v>
      </c>
      <c r="B170" s="27" t="s">
        <v>241</v>
      </c>
      <c r="C170" s="49" t="s">
        <v>249</v>
      </c>
      <c r="D170" s="134"/>
      <c r="E170" s="135" t="n">
        <v>250</v>
      </c>
      <c r="F17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181.6679472</v>
      </c>
      <c r="G170" s="135"/>
      <c r="H170" s="130" t="n">
        <v>5</v>
      </c>
      <c r="I170" s="26" t="n">
        <f aca="false">Tabela43[[#This Row],[Kolumna5]]*20700*0.27778</f>
        <v>28750.23</v>
      </c>
      <c r="J170" s="130"/>
      <c r="K170" s="130"/>
      <c r="L170" s="28" t="n">
        <f aca="false">Tabela43[[#This Row],[Kolumna8]]*0.000843882*40190*0.27778</f>
        <v>0</v>
      </c>
      <c r="M170" s="130"/>
      <c r="N170" s="146" t="n">
        <f aca="false">Tabela43[[#This Row],[Kolumna84]]/2.55</f>
        <v>0</v>
      </c>
      <c r="O170" s="28" t="n">
        <f aca="false">Tabela43[[#This Row],[Kolumna82]]*35.94*0.27778</f>
        <v>0</v>
      </c>
      <c r="P170" s="130"/>
      <c r="Q170" s="130"/>
      <c r="R170" s="130" t="n">
        <v>4</v>
      </c>
      <c r="S170" s="116" t="n">
        <f aca="false">Tabela43[[#This Row],[Kolumna92]]*0.65</f>
        <v>2.6</v>
      </c>
      <c r="T170" s="28" t="n">
        <f aca="false">Tabela43[[#This Row],[Kolumna10]]*15600*0.27778</f>
        <v>11266.7568</v>
      </c>
      <c r="U170" s="130"/>
      <c r="V170" s="130"/>
      <c r="W170" s="130"/>
      <c r="X170" s="130" t="n">
        <v>450</v>
      </c>
      <c r="Y170" s="130" t="n">
        <f aca="false">Tabela43[[#This Row],[Kolumna1223]]*12</f>
        <v>5400</v>
      </c>
      <c r="Z170" s="28" t="n">
        <f aca="false">Tabela43[[#This Row],[Kolumna123]]/0.55</f>
        <v>9818.18181818182</v>
      </c>
      <c r="AA170" s="130"/>
      <c r="AB170" s="130"/>
      <c r="AC170" s="125" t="n">
        <f aca="false">Tabela54[[#This Row],[Kolumna22]]*12</f>
        <v>0</v>
      </c>
      <c r="AD170" s="122" t="n">
        <f aca="false">Tabela54[[#This Row],[Kolumna3]]/4.44</f>
        <v>0</v>
      </c>
      <c r="AE170" s="120" t="n">
        <f aca="false">Tabela54[[#This Row],[Kolumna23]]*Tabela54[[#This Row],[Kolumna63]]</f>
        <v>0</v>
      </c>
      <c r="AF170" s="120"/>
      <c r="AG170" s="122" t="n">
        <f aca="false">Tabela54[[#This Row],[Kolumna12]]*12</f>
        <v>0</v>
      </c>
      <c r="AH170" s="122" t="n">
        <f aca="false">Tabela54[[#This Row],[Kolumna222]]/1.59</f>
        <v>0</v>
      </c>
      <c r="AI170" s="119" t="n">
        <f aca="false">Tabela54[[#This Row],[Kolumna223]]*Tabela54[[#This Row],[Kolumna63]]</f>
        <v>0</v>
      </c>
      <c r="AJ170" s="119" t="n">
        <v>400</v>
      </c>
      <c r="AK170" s="122" t="n">
        <f aca="false">Tabela54[[#This Row],[Kolumna34]]*12</f>
        <v>4800</v>
      </c>
      <c r="AL170" s="122" t="n">
        <f aca="false">Tabela54[[#This Row],[Kolumna32]]/4.2</f>
        <v>1142.85714285714</v>
      </c>
      <c r="AM170" s="119" t="n">
        <f aca="false">Tabela54[[#This Row],[Kolumna322]]*Tabela54[[#This Row],[Kolumna63]]</f>
        <v>571.428571428571</v>
      </c>
      <c r="AN170" s="122"/>
      <c r="AO170" s="122" t="n">
        <f aca="false">Tabela54[[#This Row],[Kolumna5]]*Tabela54[[#This Row],[Kolumna63]]</f>
        <v>0</v>
      </c>
      <c r="AP170" s="53" t="n">
        <v>0.5</v>
      </c>
      <c r="AQ170" s="29"/>
      <c r="AR170" s="29"/>
      <c r="AS170" s="29"/>
      <c r="AT170" s="29"/>
    </row>
    <row r="171" customFormat="false" ht="33.75" hidden="false" customHeight="true" outlineLevel="0" collapsed="false">
      <c r="A171" s="40" t="n">
        <v>164</v>
      </c>
      <c r="B171" s="27" t="s">
        <v>241</v>
      </c>
      <c r="C171" s="49" t="s">
        <v>249</v>
      </c>
      <c r="D171" s="134"/>
      <c r="E171" s="135" t="n">
        <v>220</v>
      </c>
      <c r="F17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162.895172727273</v>
      </c>
      <c r="G171" s="135"/>
      <c r="H171" s="130" t="n">
        <v>1</v>
      </c>
      <c r="I171" s="26" t="n">
        <f aca="false">Tabela43[[#This Row],[Kolumna5]]*20700*0.27778</f>
        <v>5750.046</v>
      </c>
      <c r="J171" s="130"/>
      <c r="K171" s="130"/>
      <c r="L171" s="28" t="n">
        <f aca="false">Tabela43[[#This Row],[Kolumna8]]*0.000843882*40190*0.27778</f>
        <v>0</v>
      </c>
      <c r="M171" s="130"/>
      <c r="N171" s="146" t="n">
        <f aca="false">Tabela43[[#This Row],[Kolumna84]]/2.55</f>
        <v>0</v>
      </c>
      <c r="O171" s="28" t="n">
        <f aca="false">Tabela43[[#This Row],[Kolumna82]]*35.94*0.27778</f>
        <v>0</v>
      </c>
      <c r="P171" s="130"/>
      <c r="Q171" s="130"/>
      <c r="R171" s="130" t="n">
        <v>10</v>
      </c>
      <c r="S171" s="116" t="n">
        <f aca="false">Tabela43[[#This Row],[Kolumna92]]*0.65</f>
        <v>6.5</v>
      </c>
      <c r="T171" s="28" t="n">
        <f aca="false">Tabela43[[#This Row],[Kolumna10]]*15600*0.27778</f>
        <v>28166.892</v>
      </c>
      <c r="U171" s="130"/>
      <c r="V171" s="130"/>
      <c r="W171" s="130"/>
      <c r="X171" s="130" t="n">
        <v>160</v>
      </c>
      <c r="Y171" s="130" t="n">
        <f aca="false">Tabela43[[#This Row],[Kolumna1223]]*12</f>
        <v>1920</v>
      </c>
      <c r="Z171" s="28" t="n">
        <f aca="false">Tabela43[[#This Row],[Kolumna123]]/0.55</f>
        <v>3490.90909090909</v>
      </c>
      <c r="AA171" s="130"/>
      <c r="AB171" s="130" t="n">
        <v>100</v>
      </c>
      <c r="AC171" s="125" t="n">
        <f aca="false">Tabela54[[#This Row],[Kolumna22]]*12</f>
        <v>1200</v>
      </c>
      <c r="AD171" s="122" t="n">
        <f aca="false">Tabela54[[#This Row],[Kolumna3]]/4.44</f>
        <v>270.27027027027</v>
      </c>
      <c r="AE171" s="120" t="n">
        <f aca="false">Tabela54[[#This Row],[Kolumna23]]*Tabela54[[#This Row],[Kolumna63]]</f>
        <v>54.0540540540541</v>
      </c>
      <c r="AF171" s="120"/>
      <c r="AG171" s="122" t="n">
        <f aca="false">Tabela54[[#This Row],[Kolumna12]]*12</f>
        <v>0</v>
      </c>
      <c r="AH171" s="122" t="n">
        <f aca="false">Tabela54[[#This Row],[Kolumna222]]/1.59</f>
        <v>0</v>
      </c>
      <c r="AI171" s="119" t="n">
        <f aca="false">Tabela54[[#This Row],[Kolumna223]]*Tabela54[[#This Row],[Kolumna63]]</f>
        <v>0</v>
      </c>
      <c r="AJ171" s="119" t="n">
        <v>500</v>
      </c>
      <c r="AK171" s="122" t="n">
        <f aca="false">Tabela54[[#This Row],[Kolumna34]]*12</f>
        <v>6000</v>
      </c>
      <c r="AL171" s="122" t="n">
        <f aca="false">Tabela54[[#This Row],[Kolumna32]]/4.2</f>
        <v>1428.57142857143</v>
      </c>
      <c r="AM171" s="119" t="n">
        <f aca="false">Tabela54[[#This Row],[Kolumna322]]*Tabela54[[#This Row],[Kolumna63]]</f>
        <v>285.714285714286</v>
      </c>
      <c r="AN171" s="122"/>
      <c r="AO171" s="122" t="n">
        <f aca="false">Tabela54[[#This Row],[Kolumna5]]*Tabela54[[#This Row],[Kolumna63]]</f>
        <v>0</v>
      </c>
      <c r="AP171" s="53" t="n">
        <v>0.2</v>
      </c>
      <c r="AQ171" s="29"/>
      <c r="AR171" s="29"/>
      <c r="AS171" s="29"/>
      <c r="AT171" s="29"/>
    </row>
    <row r="172" customFormat="false" ht="28.5" hidden="false" customHeight="true" outlineLevel="0" collapsed="false">
      <c r="A172" s="25" t="n">
        <v>165</v>
      </c>
      <c r="B172" s="27" t="s">
        <v>241</v>
      </c>
      <c r="C172" s="49" t="s">
        <v>249</v>
      </c>
      <c r="D172" s="134"/>
      <c r="E172" s="135" t="n">
        <v>180</v>
      </c>
      <c r="F17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172.40868</v>
      </c>
      <c r="G172" s="135"/>
      <c r="H172" s="130" t="n">
        <v>4</v>
      </c>
      <c r="I172" s="26" t="n">
        <f aca="false">Tabela43[[#This Row],[Kolumna5]]*20700*0.27778</f>
        <v>23000.184</v>
      </c>
      <c r="J172" s="130"/>
      <c r="K172" s="130"/>
      <c r="L172" s="28" t="n">
        <f aca="false">Tabela43[[#This Row],[Kolumna8]]*0.000843882*40190*0.27778</f>
        <v>0</v>
      </c>
      <c r="M172" s="130"/>
      <c r="N172" s="146" t="n">
        <f aca="false">Tabela43[[#This Row],[Kolumna84]]/2.55</f>
        <v>0</v>
      </c>
      <c r="O172" s="28" t="n">
        <f aca="false">Tabela43[[#This Row],[Kolumna82]]*35.94*0.27778</f>
        <v>0</v>
      </c>
      <c r="P172" s="130"/>
      <c r="Q172" s="130"/>
      <c r="R172" s="130" t="n">
        <v>2</v>
      </c>
      <c r="S172" s="116" t="n">
        <f aca="false">Tabela43[[#This Row],[Kolumna92]]*0.65</f>
        <v>1.3</v>
      </c>
      <c r="T172" s="28" t="n">
        <f aca="false">Tabela43[[#This Row],[Kolumna10]]*15600*0.27778</f>
        <v>5633.3784</v>
      </c>
      <c r="U172" s="130"/>
      <c r="V172" s="130"/>
      <c r="W172" s="130"/>
      <c r="X172" s="130" t="n">
        <v>200</v>
      </c>
      <c r="Y172" s="130" t="n">
        <f aca="false">Tabela43[[#This Row],[Kolumna1223]]*12</f>
        <v>2400</v>
      </c>
      <c r="Z172" s="28" t="n">
        <f aca="false">Tabela43[[#This Row],[Kolumna123]]/0.55</f>
        <v>4363.63636363636</v>
      </c>
      <c r="AA172" s="130"/>
      <c r="AB172" s="130" t="n">
        <v>400</v>
      </c>
      <c r="AC172" s="125" t="n">
        <f aca="false">Tabela54[[#This Row],[Kolumna22]]*12</f>
        <v>4800</v>
      </c>
      <c r="AD172" s="122" t="n">
        <f aca="false">Tabela54[[#This Row],[Kolumna3]]/4.44</f>
        <v>1081.08108108108</v>
      </c>
      <c r="AE172" s="120" t="n">
        <f aca="false">Tabela54[[#This Row],[Kolumna23]]*Tabela54[[#This Row],[Kolumna63]]</f>
        <v>432.432432432432</v>
      </c>
      <c r="AF172" s="120"/>
      <c r="AG172" s="122" t="n">
        <f aca="false">Tabela54[[#This Row],[Kolumna12]]*12</f>
        <v>0</v>
      </c>
      <c r="AH172" s="122" t="n">
        <f aca="false">Tabela54[[#This Row],[Kolumna222]]/1.59</f>
        <v>0</v>
      </c>
      <c r="AI172" s="119" t="n">
        <f aca="false">Tabela54[[#This Row],[Kolumna223]]*Tabela54[[#This Row],[Kolumna63]]</f>
        <v>0</v>
      </c>
      <c r="AJ172" s="119"/>
      <c r="AK172" s="122" t="n">
        <f aca="false">Tabela54[[#This Row],[Kolumna34]]*12</f>
        <v>0</v>
      </c>
      <c r="AL172" s="122" t="n">
        <f aca="false">Tabela54[[#This Row],[Kolumna32]]/4.2</f>
        <v>0</v>
      </c>
      <c r="AM172" s="119" t="n">
        <f aca="false">Tabela54[[#This Row],[Kolumna322]]*Tabela54[[#This Row],[Kolumna63]]</f>
        <v>0</v>
      </c>
      <c r="AN172" s="122"/>
      <c r="AO172" s="122" t="n">
        <f aca="false">Tabela54[[#This Row],[Kolumna5]]*Tabela54[[#This Row],[Kolumna63]]</f>
        <v>0</v>
      </c>
      <c r="AP172" s="53" t="n">
        <v>0.4</v>
      </c>
      <c r="AQ172" s="29"/>
      <c r="AR172" s="29"/>
      <c r="AS172" s="29"/>
      <c r="AT172" s="29"/>
    </row>
    <row r="173" customFormat="false" ht="31.5" hidden="false" customHeight="true" outlineLevel="0" collapsed="false">
      <c r="A173" s="25" t="n">
        <v>166</v>
      </c>
      <c r="B173" s="27" t="s">
        <v>241</v>
      </c>
      <c r="C173" s="49" t="s">
        <v>249</v>
      </c>
      <c r="D173" s="134"/>
      <c r="E173" s="135" t="n">
        <v>100</v>
      </c>
      <c r="F17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242.035164</v>
      </c>
      <c r="G173" s="135"/>
      <c r="H173" s="130" t="n">
        <v>3</v>
      </c>
      <c r="I173" s="26" t="n">
        <f aca="false">Tabela43[[#This Row],[Kolumna5]]*20700*0.27778</f>
        <v>17250.138</v>
      </c>
      <c r="J173" s="130"/>
      <c r="K173" s="130"/>
      <c r="L173" s="28" t="n">
        <f aca="false">Tabela43[[#This Row],[Kolumna8]]*0.000843882*40190*0.27778</f>
        <v>0</v>
      </c>
      <c r="M173" s="130"/>
      <c r="N173" s="146" t="n">
        <f aca="false">Tabela43[[#This Row],[Kolumna84]]/2.55</f>
        <v>0</v>
      </c>
      <c r="O173" s="28" t="n">
        <f aca="false">Tabela43[[#This Row],[Kolumna82]]*35.94*0.27778</f>
        <v>0</v>
      </c>
      <c r="P173" s="130"/>
      <c r="Q173" s="130"/>
      <c r="R173" s="130" t="n">
        <v>2</v>
      </c>
      <c r="S173" s="116" t="n">
        <f aca="false">Tabela43[[#This Row],[Kolumna92]]*0.65</f>
        <v>1.3</v>
      </c>
      <c r="T173" s="28" t="n">
        <f aca="false">Tabela43[[#This Row],[Kolumna10]]*15600*0.27778</f>
        <v>5633.3784</v>
      </c>
      <c r="U173" s="130"/>
      <c r="V173" s="130"/>
      <c r="W173" s="130"/>
      <c r="X173" s="130" t="n">
        <v>110</v>
      </c>
      <c r="Y173" s="130" t="n">
        <f aca="false">Tabela43[[#This Row],[Kolumna1223]]*12</f>
        <v>1320</v>
      </c>
      <c r="Z173" s="28" t="n">
        <f aca="false">Tabela43[[#This Row],[Kolumna123]]/0.55</f>
        <v>2400</v>
      </c>
      <c r="AA173" s="130"/>
      <c r="AB173" s="130"/>
      <c r="AC173" s="125" t="n">
        <f aca="false">Tabela54[[#This Row],[Kolumna22]]*12</f>
        <v>0</v>
      </c>
      <c r="AD173" s="122" t="n">
        <f aca="false">Tabela54[[#This Row],[Kolumna3]]/4.44</f>
        <v>0</v>
      </c>
      <c r="AE173" s="120" t="n">
        <f aca="false">Tabela54[[#This Row],[Kolumna23]]*Tabela54[[#This Row],[Kolumna63]]</f>
        <v>0</v>
      </c>
      <c r="AF173" s="120"/>
      <c r="AG173" s="122" t="n">
        <f aca="false">Tabela54[[#This Row],[Kolumna12]]*12</f>
        <v>0</v>
      </c>
      <c r="AH173" s="122" t="n">
        <f aca="false">Tabela54[[#This Row],[Kolumna222]]/1.59</f>
        <v>0</v>
      </c>
      <c r="AI173" s="119" t="n">
        <f aca="false">Tabela54[[#This Row],[Kolumna223]]*Tabela54[[#This Row],[Kolumna63]]</f>
        <v>0</v>
      </c>
      <c r="AJ173" s="119" t="n">
        <v>300</v>
      </c>
      <c r="AK173" s="122" t="n">
        <f aca="false">Tabela54[[#This Row],[Kolumna34]]*12</f>
        <v>3600</v>
      </c>
      <c r="AL173" s="122" t="n">
        <f aca="false">Tabela54[[#This Row],[Kolumna32]]/4.2</f>
        <v>857.142857142857</v>
      </c>
      <c r="AM173" s="119" t="n">
        <f aca="false">Tabela54[[#This Row],[Kolumna322]]*Tabela54[[#This Row],[Kolumna63]]</f>
        <v>514.285714285714</v>
      </c>
      <c r="AN173" s="122"/>
      <c r="AO173" s="122" t="n">
        <f aca="false">Tabela54[[#This Row],[Kolumna5]]*Tabela54[[#This Row],[Kolumna63]]</f>
        <v>0</v>
      </c>
      <c r="AP173" s="53" t="n">
        <v>0.6</v>
      </c>
      <c r="AQ173" s="29"/>
      <c r="AR173" s="29"/>
      <c r="AS173" s="29"/>
      <c r="AT173" s="29"/>
    </row>
    <row r="174" customFormat="false" ht="34.5" hidden="false" customHeight="true" outlineLevel="0" collapsed="false">
      <c r="A174" s="40" t="n">
        <v>167</v>
      </c>
      <c r="B174" s="27" t="s">
        <v>241</v>
      </c>
      <c r="C174" s="49" t="s">
        <v>249</v>
      </c>
      <c r="D174" s="134"/>
      <c r="E174" s="135" t="n">
        <v>120</v>
      </c>
      <c r="F17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250.7241</v>
      </c>
      <c r="G174" s="135"/>
      <c r="H174" s="130"/>
      <c r="I174" s="26" t="n">
        <f aca="false">Tabela43[[#This Row],[Kolumna5]]*20700*0.27778</f>
        <v>0</v>
      </c>
      <c r="J174" s="130"/>
      <c r="K174" s="130"/>
      <c r="L174" s="28" t="n">
        <f aca="false">Tabela43[[#This Row],[Kolumna8]]*0.000843882*40190*0.27778</f>
        <v>0</v>
      </c>
      <c r="M174" s="130"/>
      <c r="N174" s="146" t="n">
        <f aca="false">Tabela43[[#This Row],[Kolumna84]]/2.55</f>
        <v>0</v>
      </c>
      <c r="O174" s="28" t="n">
        <f aca="false">Tabela43[[#This Row],[Kolumna82]]*35.94*0.27778</f>
        <v>0</v>
      </c>
      <c r="P174" s="130"/>
      <c r="Q174" s="130"/>
      <c r="R174" s="130" t="n">
        <v>10</v>
      </c>
      <c r="S174" s="116" t="n">
        <f aca="false">Tabela43[[#This Row],[Kolumna92]]*0.65</f>
        <v>6.5</v>
      </c>
      <c r="T174" s="28" t="n">
        <f aca="false">Tabela43[[#This Row],[Kolumna10]]*15600*0.27778</f>
        <v>28166.892</v>
      </c>
      <c r="U174" s="130"/>
      <c r="V174" s="130"/>
      <c r="W174" s="130"/>
      <c r="X174" s="130" t="n">
        <v>160</v>
      </c>
      <c r="Y174" s="130" t="n">
        <f aca="false">Tabela43[[#This Row],[Kolumna1223]]*12</f>
        <v>1920</v>
      </c>
      <c r="Z174" s="28" t="n">
        <f aca="false">Tabela43[[#This Row],[Kolumna123]]/0.55</f>
        <v>3490.90909090909</v>
      </c>
      <c r="AA174" s="130"/>
      <c r="AB174" s="130" t="n">
        <v>200</v>
      </c>
      <c r="AC174" s="125" t="n">
        <f aca="false">Tabela54[[#This Row],[Kolumna22]]*12</f>
        <v>2400</v>
      </c>
      <c r="AD174" s="122" t="n">
        <f aca="false">Tabela54[[#This Row],[Kolumna3]]/4.44</f>
        <v>540.540540540541</v>
      </c>
      <c r="AE174" s="120" t="n">
        <f aca="false">Tabela54[[#This Row],[Kolumna23]]*Tabela54[[#This Row],[Kolumna63]]</f>
        <v>324.324324324324</v>
      </c>
      <c r="AF174" s="120"/>
      <c r="AG174" s="122" t="n">
        <f aca="false">Tabela54[[#This Row],[Kolumna12]]*12</f>
        <v>0</v>
      </c>
      <c r="AH174" s="122" t="n">
        <f aca="false">Tabela54[[#This Row],[Kolumna222]]/1.59</f>
        <v>0</v>
      </c>
      <c r="AI174" s="119" t="n">
        <f aca="false">Tabela54[[#This Row],[Kolumna223]]*Tabela54[[#This Row],[Kolumna63]]</f>
        <v>0</v>
      </c>
      <c r="AJ174" s="119"/>
      <c r="AK174" s="122" t="n">
        <f aca="false">Tabela54[[#This Row],[Kolumna34]]*12</f>
        <v>0</v>
      </c>
      <c r="AL174" s="122" t="n">
        <f aca="false">Tabela54[[#This Row],[Kolumna32]]/4.2</f>
        <v>0</v>
      </c>
      <c r="AM174" s="119" t="n">
        <f aca="false">Tabela54[[#This Row],[Kolumna322]]*Tabela54[[#This Row],[Kolumna63]]</f>
        <v>0</v>
      </c>
      <c r="AN174" s="122"/>
      <c r="AO174" s="122" t="n">
        <f aca="false">Tabela54[[#This Row],[Kolumna5]]*Tabela54[[#This Row],[Kolumna63]]</f>
        <v>0</v>
      </c>
      <c r="AP174" s="53" t="n">
        <v>0.6</v>
      </c>
      <c r="AQ174" s="29"/>
      <c r="AR174" s="29"/>
      <c r="AS174" s="29"/>
      <c r="AT174" s="29"/>
    </row>
    <row r="175" customFormat="false" ht="28.5" hidden="false" customHeight="true" outlineLevel="0" collapsed="false">
      <c r="A175" s="25" t="n">
        <v>168</v>
      </c>
      <c r="B175" s="27" t="s">
        <v>241</v>
      </c>
      <c r="C175" s="49" t="s">
        <v>249</v>
      </c>
      <c r="D175" s="49"/>
      <c r="E175" s="143" t="n">
        <v>120</v>
      </c>
      <c r="F17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248.61302</v>
      </c>
      <c r="G175" s="143"/>
      <c r="H175" s="143" t="n">
        <v>4</v>
      </c>
      <c r="I175" s="26" t="n">
        <f aca="false">Tabela43[[#This Row],[Kolumna5]]*20700*0.27778</f>
        <v>23000.184</v>
      </c>
      <c r="J175" s="143"/>
      <c r="K175" s="143"/>
      <c r="L175" s="28" t="n">
        <f aca="false">Tabela43[[#This Row],[Kolumna8]]*0.000843882*40190*0.27778</f>
        <v>0</v>
      </c>
      <c r="M175" s="143"/>
      <c r="N175" s="146" t="n">
        <f aca="false">Tabela43[[#This Row],[Kolumna84]]/2.55</f>
        <v>0</v>
      </c>
      <c r="O175" s="28" t="n">
        <f aca="false">Tabela43[[#This Row],[Kolumna82]]*35.94*0.27778</f>
        <v>0</v>
      </c>
      <c r="P175" s="143"/>
      <c r="Q175" s="143"/>
      <c r="R175" s="143" t="n">
        <v>2</v>
      </c>
      <c r="S175" s="116" t="n">
        <f aca="false">Tabela43[[#This Row],[Kolumna92]]*0.65</f>
        <v>1.3</v>
      </c>
      <c r="T175" s="28" t="n">
        <f aca="false">Tabela43[[#This Row],[Kolumna10]]*15600*0.27778</f>
        <v>5633.3784</v>
      </c>
      <c r="U175" s="143"/>
      <c r="V175" s="143"/>
      <c r="W175" s="143"/>
      <c r="X175" s="143" t="n">
        <v>100</v>
      </c>
      <c r="Y175" s="130" t="n">
        <f aca="false">Tabela43[[#This Row],[Kolumna1223]]*12</f>
        <v>1200</v>
      </c>
      <c r="Z175" s="28" t="n">
        <f aca="false">Tabela43[[#This Row],[Kolumna123]]/0.55</f>
        <v>2181.81818181818</v>
      </c>
      <c r="AA175" s="143"/>
      <c r="AB175" s="143" t="n">
        <v>100</v>
      </c>
      <c r="AC175" s="125" t="n">
        <f aca="false">Tabela54[[#This Row],[Kolumna22]]*12</f>
        <v>1200</v>
      </c>
      <c r="AD175" s="122" t="n">
        <f aca="false">Tabela54[[#This Row],[Kolumna3]]/4.44</f>
        <v>270.27027027027</v>
      </c>
      <c r="AE175" s="120" t="n">
        <f aca="false">Tabela54[[#This Row],[Kolumna23]]*Tabela54[[#This Row],[Kolumna63]]</f>
        <v>27.027027027027</v>
      </c>
      <c r="AF175" s="120"/>
      <c r="AG175" s="122" t="n">
        <f aca="false">Tabela54[[#This Row],[Kolumna12]]*12</f>
        <v>0</v>
      </c>
      <c r="AH175" s="122" t="n">
        <f aca="false">Tabela54[[#This Row],[Kolumna222]]/1.59</f>
        <v>0</v>
      </c>
      <c r="AI175" s="119" t="n">
        <f aca="false">Tabela54[[#This Row],[Kolumna223]]*Tabela54[[#This Row],[Kolumna63]]</f>
        <v>0</v>
      </c>
      <c r="AJ175" s="119"/>
      <c r="AK175" s="122" t="n">
        <f aca="false">Tabela54[[#This Row],[Kolumna34]]*12</f>
        <v>0</v>
      </c>
      <c r="AL175" s="122" t="n">
        <f aca="false">Tabela54[[#This Row],[Kolumna32]]/4.2</f>
        <v>0</v>
      </c>
      <c r="AM175" s="119" t="n">
        <f aca="false">Tabela54[[#This Row],[Kolumna322]]*Tabela54[[#This Row],[Kolumna63]]</f>
        <v>0</v>
      </c>
      <c r="AN175" s="122"/>
      <c r="AO175" s="122" t="n">
        <f aca="false">Tabela54[[#This Row],[Kolumna5]]*Tabela54[[#This Row],[Kolumna63]]</f>
        <v>0</v>
      </c>
      <c r="AP175" s="53" t="n">
        <v>0.1</v>
      </c>
      <c r="AQ175" s="29"/>
      <c r="AR175" s="29"/>
      <c r="AS175" s="29"/>
      <c r="AT175" s="29"/>
    </row>
    <row r="176" customFormat="false" ht="26.25" hidden="false" customHeight="true" outlineLevel="0" collapsed="false">
      <c r="A176" s="25" t="n">
        <v>169</v>
      </c>
      <c r="B176" s="27" t="s">
        <v>241</v>
      </c>
      <c r="C176" s="49" t="s">
        <v>249</v>
      </c>
      <c r="D176" s="134"/>
      <c r="E176" s="135" t="n">
        <v>80</v>
      </c>
      <c r="F17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455.42007</v>
      </c>
      <c r="G176" s="135"/>
      <c r="H176" s="130" t="n">
        <v>2</v>
      </c>
      <c r="I176" s="26" t="n">
        <f aca="false">Tabela43[[#This Row],[Kolumna5]]*20700*0.27778</f>
        <v>11500.092</v>
      </c>
      <c r="J176" s="130"/>
      <c r="K176" s="130"/>
      <c r="L176" s="28" t="n">
        <f aca="false">Tabela43[[#This Row],[Kolumna8]]*0.000843882*40190*0.27778</f>
        <v>0</v>
      </c>
      <c r="M176" s="130"/>
      <c r="N176" s="146" t="n">
        <f aca="false">Tabela43[[#This Row],[Kolumna84]]/2.55</f>
        <v>0</v>
      </c>
      <c r="O176" s="28" t="n">
        <f aca="false">Tabela43[[#This Row],[Kolumna82]]*35.94*0.27778</f>
        <v>0</v>
      </c>
      <c r="P176" s="130" t="n">
        <v>6</v>
      </c>
      <c r="Q176" s="130"/>
      <c r="R176" s="130" t="n">
        <v>8</v>
      </c>
      <c r="S176" s="116" t="n">
        <f aca="false">Tabela43[[#This Row],[Kolumna92]]*0.65</f>
        <v>5.2</v>
      </c>
      <c r="T176" s="28" t="n">
        <f aca="false">Tabela43[[#This Row],[Kolumna10]]*15600*0.27778</f>
        <v>22533.5136</v>
      </c>
      <c r="U176" s="130"/>
      <c r="V176" s="130"/>
      <c r="W176" s="130"/>
      <c r="X176" s="130" t="n">
        <v>200</v>
      </c>
      <c r="Y176" s="130" t="n">
        <f aca="false">Tabela43[[#This Row],[Kolumna1223]]*12</f>
        <v>2400</v>
      </c>
      <c r="Z176" s="28" t="n">
        <f aca="false">Tabela43[[#This Row],[Kolumna123]]/0.55</f>
        <v>4363.63636363636</v>
      </c>
      <c r="AA176" s="130"/>
      <c r="AB176" s="130" t="n">
        <v>300</v>
      </c>
      <c r="AC176" s="125" t="n">
        <f aca="false">Tabela54[[#This Row],[Kolumna22]]*12</f>
        <v>3600</v>
      </c>
      <c r="AD176" s="122" t="n">
        <f aca="false">Tabela54[[#This Row],[Kolumna3]]/4.44</f>
        <v>810.810810810811</v>
      </c>
      <c r="AE176" s="120" t="n">
        <f aca="false">Tabela54[[#This Row],[Kolumna23]]*Tabela54[[#This Row],[Kolumna63]]</f>
        <v>243.243243243243</v>
      </c>
      <c r="AF176" s="120"/>
      <c r="AG176" s="122" t="n">
        <f aca="false">Tabela54[[#This Row],[Kolumna12]]*12</f>
        <v>0</v>
      </c>
      <c r="AH176" s="122" t="n">
        <f aca="false">Tabela54[[#This Row],[Kolumna222]]/1.59</f>
        <v>0</v>
      </c>
      <c r="AI176" s="119" t="n">
        <f aca="false">Tabela54[[#This Row],[Kolumna223]]*Tabela54[[#This Row],[Kolumna63]]</f>
        <v>0</v>
      </c>
      <c r="AJ176" s="119"/>
      <c r="AK176" s="122" t="n">
        <f aca="false">Tabela54[[#This Row],[Kolumna34]]*12</f>
        <v>0</v>
      </c>
      <c r="AL176" s="122" t="n">
        <f aca="false">Tabela54[[#This Row],[Kolumna32]]/4.2</f>
        <v>0</v>
      </c>
      <c r="AM176" s="119" t="n">
        <f aca="false">Tabela54[[#This Row],[Kolumna322]]*Tabela54[[#This Row],[Kolumna63]]</f>
        <v>0</v>
      </c>
      <c r="AN176" s="122"/>
      <c r="AO176" s="122" t="n">
        <f aca="false">Tabela54[[#This Row],[Kolumna5]]*Tabela54[[#This Row],[Kolumna63]]</f>
        <v>0</v>
      </c>
      <c r="AP176" s="53" t="n">
        <v>0.3</v>
      </c>
      <c r="AQ176" s="29"/>
      <c r="AR176" s="29"/>
      <c r="AS176" s="29"/>
      <c r="AT176" s="29"/>
    </row>
    <row r="177" customFormat="false" ht="30.75" hidden="false" customHeight="true" outlineLevel="0" collapsed="false">
      <c r="A177" s="40" t="n">
        <v>170</v>
      </c>
      <c r="B177" s="27" t="s">
        <v>241</v>
      </c>
      <c r="C177" s="49" t="s">
        <v>249</v>
      </c>
      <c r="D177" s="134"/>
      <c r="E177" s="135" t="n">
        <v>180</v>
      </c>
      <c r="F17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189.390286666667</v>
      </c>
      <c r="G177" s="135"/>
      <c r="H177" s="130" t="n">
        <v>4</v>
      </c>
      <c r="I177" s="26" t="n">
        <f aca="false">Tabela43[[#This Row],[Kolumna5]]*20700*0.27778</f>
        <v>23000.184</v>
      </c>
      <c r="J177" s="130"/>
      <c r="K177" s="130"/>
      <c r="L177" s="28" t="n">
        <f aca="false">Tabela43[[#This Row],[Kolumna8]]*0.000843882*40190*0.27778</f>
        <v>0</v>
      </c>
      <c r="M177" s="130"/>
      <c r="N177" s="146" t="n">
        <f aca="false">Tabela43[[#This Row],[Kolumna84]]/2.55</f>
        <v>0</v>
      </c>
      <c r="O177" s="28" t="n">
        <f aca="false">Tabela43[[#This Row],[Kolumna82]]*35.94*0.27778</f>
        <v>0</v>
      </c>
      <c r="P177" s="130"/>
      <c r="Q177" s="130"/>
      <c r="R177" s="130" t="n">
        <v>3</v>
      </c>
      <c r="S177" s="116" t="n">
        <f aca="false">Tabela43[[#This Row],[Kolumna92]]*0.65</f>
        <v>1.95</v>
      </c>
      <c r="T177" s="28" t="n">
        <f aca="false">Tabela43[[#This Row],[Kolumna10]]*15600*0.27778</f>
        <v>8450.0676</v>
      </c>
      <c r="U177" s="130"/>
      <c r="V177" s="130"/>
      <c r="W177" s="130"/>
      <c r="X177" s="130" t="n">
        <v>220</v>
      </c>
      <c r="Y177" s="130" t="n">
        <f aca="false">Tabela43[[#This Row],[Kolumna1223]]*12</f>
        <v>2640</v>
      </c>
      <c r="Z177" s="28" t="n">
        <f aca="false">Tabela43[[#This Row],[Kolumna123]]/0.55</f>
        <v>4800</v>
      </c>
      <c r="AA177" s="130"/>
      <c r="AB177" s="130"/>
      <c r="AC177" s="125" t="n">
        <f aca="false">Tabela54[[#This Row],[Kolumna22]]*12</f>
        <v>0</v>
      </c>
      <c r="AD177" s="122" t="n">
        <f aca="false">Tabela54[[#This Row],[Kolumna3]]/4.44</f>
        <v>0</v>
      </c>
      <c r="AE177" s="120" t="n">
        <f aca="false">Tabela54[[#This Row],[Kolumna23]]*Tabela54[[#This Row],[Kolumna63]]</f>
        <v>0</v>
      </c>
      <c r="AF177" s="120" t="n">
        <v>300</v>
      </c>
      <c r="AG177" s="122" t="n">
        <f aca="false">Tabela54[[#This Row],[Kolumna12]]*12</f>
        <v>3600</v>
      </c>
      <c r="AH177" s="122" t="n">
        <f aca="false">Tabela54[[#This Row],[Kolumna222]]/1.59</f>
        <v>2264.15094339623</v>
      </c>
      <c r="AI177" s="119" t="n">
        <f aca="false">Tabela54[[#This Row],[Kolumna223]]*Tabela54[[#This Row],[Kolumna63]]</f>
        <v>1132.07547169811</v>
      </c>
      <c r="AJ177" s="119" t="n">
        <v>400</v>
      </c>
      <c r="AK177" s="122" t="n">
        <f aca="false">Tabela54[[#This Row],[Kolumna34]]*12</f>
        <v>4800</v>
      </c>
      <c r="AL177" s="122" t="n">
        <f aca="false">Tabela54[[#This Row],[Kolumna32]]/4.2</f>
        <v>1142.85714285714</v>
      </c>
      <c r="AM177" s="119" t="n">
        <f aca="false">Tabela54[[#This Row],[Kolumna322]]*Tabela54[[#This Row],[Kolumna63]]</f>
        <v>571.428571428571</v>
      </c>
      <c r="AN177" s="122"/>
      <c r="AO177" s="122" t="n">
        <f aca="false">Tabela54[[#This Row],[Kolumna5]]*Tabela54[[#This Row],[Kolumna63]]</f>
        <v>0</v>
      </c>
      <c r="AP177" s="53" t="n">
        <v>0.5</v>
      </c>
      <c r="AQ177" s="29"/>
      <c r="AR177" s="29"/>
      <c r="AS177" s="29"/>
      <c r="AT177" s="29"/>
    </row>
    <row r="178" customFormat="false" ht="30.75" hidden="false" customHeight="true" outlineLevel="0" collapsed="false">
      <c r="A178" s="25" t="n">
        <v>171</v>
      </c>
      <c r="B178" s="27" t="s">
        <v>241</v>
      </c>
      <c r="C178" s="49" t="s">
        <v>249</v>
      </c>
      <c r="D178" s="134"/>
      <c r="E178" s="135" t="n">
        <v>120</v>
      </c>
      <c r="F17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210.7532</v>
      </c>
      <c r="G178" s="135"/>
      <c r="H178" s="130"/>
      <c r="I178" s="26" t="n">
        <f aca="false">Tabela43[[#This Row],[Kolumna5]]*20700*0.27778</f>
        <v>0</v>
      </c>
      <c r="J178" s="130"/>
      <c r="K178" s="130"/>
      <c r="L178" s="28" t="n">
        <f aca="false">Tabela43[[#This Row],[Kolumna8]]*0.000843882*40190*0.27778</f>
        <v>0</v>
      </c>
      <c r="M178" s="130" t="n">
        <f aca="false">500*12</f>
        <v>6000</v>
      </c>
      <c r="N178" s="146" t="n">
        <f aca="false">Tabela43[[#This Row],[Kolumna84]]/2.55</f>
        <v>2352.94117647059</v>
      </c>
      <c r="O178" s="28" t="n">
        <f aca="false">Tabela43[[#This Row],[Kolumna82]]*35.94*0.27778</f>
        <v>23490.384</v>
      </c>
      <c r="P178" s="130"/>
      <c r="Q178" s="130"/>
      <c r="R178" s="130"/>
      <c r="S178" s="116" t="n">
        <f aca="false">Tabela43[[#This Row],[Kolumna92]]*0.65</f>
        <v>0</v>
      </c>
      <c r="T178" s="28" t="n">
        <f aca="false">Tabela43[[#This Row],[Kolumna10]]*15600*0.27778</f>
        <v>0</v>
      </c>
      <c r="U178" s="130"/>
      <c r="V178" s="130"/>
      <c r="W178" s="130"/>
      <c r="X178" s="130" t="n">
        <v>150</v>
      </c>
      <c r="Y178" s="130" t="n">
        <f aca="false">Tabela43[[#This Row],[Kolumna1223]]*12</f>
        <v>1800</v>
      </c>
      <c r="Z178" s="28" t="n">
        <f aca="false">Tabela43[[#This Row],[Kolumna123]]/0.55</f>
        <v>3272.72727272727</v>
      </c>
      <c r="AA178" s="130"/>
      <c r="AB178" s="130" t="n">
        <v>400</v>
      </c>
      <c r="AC178" s="125" t="n">
        <f aca="false">Tabela54[[#This Row],[Kolumna22]]*12</f>
        <v>4800</v>
      </c>
      <c r="AD178" s="122" t="n">
        <f aca="false">Tabela54[[#This Row],[Kolumna3]]/4.44</f>
        <v>1081.08108108108</v>
      </c>
      <c r="AE178" s="120" t="n">
        <f aca="false">Tabela54[[#This Row],[Kolumna23]]*Tabela54[[#This Row],[Kolumna63]]</f>
        <v>324.324324324324</v>
      </c>
      <c r="AF178" s="120"/>
      <c r="AG178" s="122" t="n">
        <f aca="false">Tabela54[[#This Row],[Kolumna12]]*12</f>
        <v>0</v>
      </c>
      <c r="AH178" s="122" t="n">
        <f aca="false">Tabela54[[#This Row],[Kolumna222]]/1.59</f>
        <v>0</v>
      </c>
      <c r="AI178" s="119" t="n">
        <f aca="false">Tabela54[[#This Row],[Kolumna223]]*Tabela54[[#This Row],[Kolumna63]]</f>
        <v>0</v>
      </c>
      <c r="AJ178" s="119"/>
      <c r="AK178" s="122" t="n">
        <f aca="false">Tabela54[[#This Row],[Kolumna34]]*12</f>
        <v>0</v>
      </c>
      <c r="AL178" s="122" t="n">
        <f aca="false">Tabela54[[#This Row],[Kolumna32]]/4.2</f>
        <v>0</v>
      </c>
      <c r="AM178" s="119" t="n">
        <f aca="false">Tabela54[[#This Row],[Kolumna322]]*Tabela54[[#This Row],[Kolumna63]]</f>
        <v>0</v>
      </c>
      <c r="AN178" s="122"/>
      <c r="AO178" s="122" t="n">
        <f aca="false">Tabela54[[#This Row],[Kolumna5]]*Tabela54[[#This Row],[Kolumna63]]</f>
        <v>0</v>
      </c>
      <c r="AP178" s="53" t="n">
        <v>0.3</v>
      </c>
      <c r="AQ178" s="29"/>
      <c r="AR178" s="29"/>
      <c r="AS178" s="29"/>
      <c r="AT178" s="29"/>
    </row>
    <row r="179" customFormat="false" ht="29.25" hidden="false" customHeight="true" outlineLevel="0" collapsed="false">
      <c r="A179" s="25" t="n">
        <v>172</v>
      </c>
      <c r="B179" s="27" t="s">
        <v>241</v>
      </c>
      <c r="C179" s="49" t="s">
        <v>249</v>
      </c>
      <c r="D179" s="134"/>
      <c r="E179" s="135" t="n">
        <v>150</v>
      </c>
      <c r="F17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303.61338</v>
      </c>
      <c r="G179" s="135"/>
      <c r="H179" s="130" t="n">
        <v>2.5</v>
      </c>
      <c r="I179" s="26" t="n">
        <f aca="false">Tabela43[[#This Row],[Kolumna5]]*20700*0.27778</f>
        <v>14375.115</v>
      </c>
      <c r="J179" s="130"/>
      <c r="K179" s="130"/>
      <c r="L179" s="28" t="n">
        <f aca="false">Tabela43[[#This Row],[Kolumna8]]*0.000843882*40190*0.27778</f>
        <v>0</v>
      </c>
      <c r="M179" s="130"/>
      <c r="N179" s="146" t="n">
        <f aca="false">Tabela43[[#This Row],[Kolumna84]]/2.55</f>
        <v>0</v>
      </c>
      <c r="O179" s="28" t="n">
        <f aca="false">Tabela43[[#This Row],[Kolumna82]]*35.94*0.27778</f>
        <v>0</v>
      </c>
      <c r="P179" s="130"/>
      <c r="Q179" s="130"/>
      <c r="R179" s="130" t="n">
        <v>10</v>
      </c>
      <c r="S179" s="116" t="n">
        <f aca="false">Tabela43[[#This Row],[Kolumna92]]*0.65</f>
        <v>6.5</v>
      </c>
      <c r="T179" s="28" t="n">
        <f aca="false">Tabela43[[#This Row],[Kolumna10]]*15600*0.27778</f>
        <v>28166.892</v>
      </c>
      <c r="U179" s="130"/>
      <c r="V179" s="130"/>
      <c r="W179" s="130"/>
      <c r="X179" s="130" t="n">
        <v>250</v>
      </c>
      <c r="Y179" s="130" t="n">
        <f aca="false">Tabela43[[#This Row],[Kolumna1223]]*12</f>
        <v>3000</v>
      </c>
      <c r="Z179" s="28" t="n">
        <f aca="false">Tabela43[[#This Row],[Kolumna123]]/0.55</f>
        <v>5454.54545454545</v>
      </c>
      <c r="AA179" s="130"/>
      <c r="AB179" s="130"/>
      <c r="AC179" s="125" t="n">
        <f aca="false">Tabela54[[#This Row],[Kolumna22]]*12</f>
        <v>0</v>
      </c>
      <c r="AD179" s="122" t="n">
        <f aca="false">Tabela54[[#This Row],[Kolumna3]]/4.44</f>
        <v>0</v>
      </c>
      <c r="AE179" s="120" t="n">
        <f aca="false">Tabela54[[#This Row],[Kolumna23]]*Tabela54[[#This Row],[Kolumna63]]</f>
        <v>0</v>
      </c>
      <c r="AF179" s="120" t="n">
        <v>100</v>
      </c>
      <c r="AG179" s="122" t="n">
        <f aca="false">Tabela54[[#This Row],[Kolumna12]]*12</f>
        <v>1200</v>
      </c>
      <c r="AH179" s="122" t="n">
        <f aca="false">Tabela54[[#This Row],[Kolumna222]]/1.59</f>
        <v>754.716981132076</v>
      </c>
      <c r="AI179" s="119" t="n">
        <f aca="false">Tabela54[[#This Row],[Kolumna223]]*Tabela54[[#This Row],[Kolumna63]]</f>
        <v>301.88679245283</v>
      </c>
      <c r="AJ179" s="119" t="n">
        <v>400</v>
      </c>
      <c r="AK179" s="122" t="n">
        <f aca="false">Tabela54[[#This Row],[Kolumna34]]*12</f>
        <v>4800</v>
      </c>
      <c r="AL179" s="122" t="n">
        <f aca="false">Tabela54[[#This Row],[Kolumna32]]/4.2</f>
        <v>1142.85714285714</v>
      </c>
      <c r="AM179" s="119" t="n">
        <f aca="false">Tabela54[[#This Row],[Kolumna322]]*Tabela54[[#This Row],[Kolumna63]]</f>
        <v>457.142857142857</v>
      </c>
      <c r="AN179" s="122"/>
      <c r="AO179" s="122" t="n">
        <f aca="false">Tabela54[[#This Row],[Kolumna5]]*Tabela54[[#This Row],[Kolumna63]]</f>
        <v>0</v>
      </c>
      <c r="AP179" s="53" t="n">
        <v>0.4</v>
      </c>
      <c r="AQ179" s="29"/>
      <c r="AR179" s="29"/>
      <c r="AS179" s="29"/>
      <c r="AT179" s="29"/>
    </row>
    <row r="180" customFormat="false" ht="33.75" hidden="false" customHeight="true" outlineLevel="0" collapsed="false">
      <c r="A180" s="40" t="n">
        <v>173</v>
      </c>
      <c r="B180" s="27" t="s">
        <v>241</v>
      </c>
      <c r="C180" s="49" t="s">
        <v>249</v>
      </c>
      <c r="D180" s="134"/>
      <c r="E180" s="135" t="n">
        <v>100</v>
      </c>
      <c r="F18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300.735624</v>
      </c>
      <c r="G180" s="135"/>
      <c r="H180" s="130" t="n">
        <v>4</v>
      </c>
      <c r="I180" s="26" t="n">
        <f aca="false">Tabela43[[#This Row],[Kolumna5]]*20700*0.27778</f>
        <v>23000.184</v>
      </c>
      <c r="J180" s="130"/>
      <c r="K180" s="130"/>
      <c r="L180" s="28" t="n">
        <f aca="false">Tabela43[[#This Row],[Kolumna8]]*0.000843882*40190*0.27778</f>
        <v>0</v>
      </c>
      <c r="M180" s="130"/>
      <c r="N180" s="146" t="n">
        <f aca="false">Tabela43[[#This Row],[Kolumna84]]/2.55</f>
        <v>0</v>
      </c>
      <c r="O180" s="28" t="n">
        <f aca="false">Tabela43[[#This Row],[Kolumna82]]*35.94*0.27778</f>
        <v>0</v>
      </c>
      <c r="P180" s="130"/>
      <c r="Q180" s="130"/>
      <c r="R180" s="130" t="n">
        <v>2</v>
      </c>
      <c r="S180" s="116" t="n">
        <f aca="false">Tabela43[[#This Row],[Kolumna92]]*0.65</f>
        <v>1.3</v>
      </c>
      <c r="T180" s="28" t="n">
        <f aca="false">Tabela43[[#This Row],[Kolumna10]]*15600*0.27778</f>
        <v>5633.3784</v>
      </c>
      <c r="U180" s="130"/>
      <c r="V180" s="130"/>
      <c r="W180" s="130"/>
      <c r="X180" s="130" t="n">
        <v>120</v>
      </c>
      <c r="Y180" s="130" t="n">
        <f aca="false">Tabela43[[#This Row],[Kolumna1223]]*12</f>
        <v>1440</v>
      </c>
      <c r="Z180" s="28" t="n">
        <f aca="false">Tabela43[[#This Row],[Kolumna123]]/0.55</f>
        <v>2618.18181818182</v>
      </c>
      <c r="AA180" s="130"/>
      <c r="AB180" s="130"/>
      <c r="AC180" s="125" t="n">
        <f aca="false">Tabela54[[#This Row],[Kolumna22]]*12</f>
        <v>0</v>
      </c>
      <c r="AD180" s="122" t="n">
        <f aca="false">Tabela54[[#This Row],[Kolumna3]]/4.44</f>
        <v>0</v>
      </c>
      <c r="AE180" s="120" t="n">
        <f aca="false">Tabela54[[#This Row],[Kolumna23]]*Tabela54[[#This Row],[Kolumna63]]</f>
        <v>0</v>
      </c>
      <c r="AF180" s="120"/>
      <c r="AG180" s="122" t="n">
        <f aca="false">Tabela54[[#This Row],[Kolumna12]]*12</f>
        <v>0</v>
      </c>
      <c r="AH180" s="122" t="n">
        <f aca="false">Tabela54[[#This Row],[Kolumna222]]/1.59</f>
        <v>0</v>
      </c>
      <c r="AI180" s="119" t="n">
        <f aca="false">Tabela54[[#This Row],[Kolumna223]]*Tabela54[[#This Row],[Kolumna63]]</f>
        <v>0</v>
      </c>
      <c r="AJ180" s="119" t="n">
        <v>200</v>
      </c>
      <c r="AK180" s="122" t="n">
        <f aca="false">Tabela54[[#This Row],[Kolumna34]]*12</f>
        <v>2400</v>
      </c>
      <c r="AL180" s="122" t="n">
        <f aca="false">Tabela54[[#This Row],[Kolumna32]]/4.2</f>
        <v>571.428571428571</v>
      </c>
      <c r="AM180" s="119" t="n">
        <f aca="false">Tabela54[[#This Row],[Kolumna322]]*Tabela54[[#This Row],[Kolumna63]]</f>
        <v>342.857142857143</v>
      </c>
      <c r="AN180" s="122"/>
      <c r="AO180" s="122" t="n">
        <f aca="false">Tabela54[[#This Row],[Kolumna5]]*Tabela54[[#This Row],[Kolumna63]]</f>
        <v>0</v>
      </c>
      <c r="AP180" s="53" t="n">
        <v>0.6</v>
      </c>
      <c r="AQ180" s="29"/>
      <c r="AR180" s="29"/>
      <c r="AS180" s="29"/>
      <c r="AT180" s="29"/>
    </row>
    <row r="181" customFormat="false" ht="33.75" hidden="false" customHeight="true" outlineLevel="0" collapsed="false">
      <c r="A181" s="25" t="n">
        <v>174</v>
      </c>
      <c r="B181" s="27" t="s">
        <v>241</v>
      </c>
      <c r="C181" s="49" t="s">
        <v>249</v>
      </c>
      <c r="D181" s="134"/>
      <c r="E181" s="135" t="n">
        <v>160</v>
      </c>
      <c r="F18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188.75142</v>
      </c>
      <c r="G181" s="135"/>
      <c r="H181" s="130" t="n">
        <v>2</v>
      </c>
      <c r="I181" s="26" t="n">
        <f aca="false">Tabela43[[#This Row],[Kolumna5]]*20700*0.27778</f>
        <v>11500.092</v>
      </c>
      <c r="J181" s="130"/>
      <c r="K181" s="130"/>
      <c r="L181" s="28" t="n">
        <f aca="false">Tabela43[[#This Row],[Kolumna8]]*0.000843882*40190*0.27778</f>
        <v>0</v>
      </c>
      <c r="M181" s="130"/>
      <c r="N181" s="146" t="n">
        <f aca="false">Tabela43[[#This Row],[Kolumna84]]/2.55</f>
        <v>0</v>
      </c>
      <c r="O181" s="28" t="n">
        <f aca="false">Tabela43[[#This Row],[Kolumna82]]*35.94*0.27778</f>
        <v>0</v>
      </c>
      <c r="P181" s="130"/>
      <c r="Q181" s="130"/>
      <c r="R181" s="130" t="n">
        <v>6</v>
      </c>
      <c r="S181" s="116" t="n">
        <f aca="false">Tabela43[[#This Row],[Kolumna92]]*0.65</f>
        <v>3.9</v>
      </c>
      <c r="T181" s="28" t="n">
        <f aca="false">Tabela43[[#This Row],[Kolumna10]]*15600*0.27778</f>
        <v>16900.1352</v>
      </c>
      <c r="U181" s="130"/>
      <c r="V181" s="130"/>
      <c r="W181" s="130"/>
      <c r="X181" s="130" t="n">
        <v>150</v>
      </c>
      <c r="Y181" s="130" t="n">
        <f aca="false">Tabela43[[#This Row],[Kolumna1223]]*12</f>
        <v>1800</v>
      </c>
      <c r="Z181" s="28" t="n">
        <f aca="false">Tabela43[[#This Row],[Kolumna123]]/0.55</f>
        <v>3272.72727272727</v>
      </c>
      <c r="AA181" s="130"/>
      <c r="AB181" s="130" t="n">
        <v>200</v>
      </c>
      <c r="AC181" s="125" t="n">
        <f aca="false">Tabela54[[#This Row],[Kolumna22]]*12</f>
        <v>2400</v>
      </c>
      <c r="AD181" s="122" t="n">
        <f aca="false">Tabela54[[#This Row],[Kolumna3]]/4.44</f>
        <v>540.540540540541</v>
      </c>
      <c r="AE181" s="120" t="n">
        <f aca="false">Tabela54[[#This Row],[Kolumna23]]*Tabela54[[#This Row],[Kolumna63]]</f>
        <v>216.216216216216</v>
      </c>
      <c r="AF181" s="120"/>
      <c r="AG181" s="122" t="n">
        <f aca="false">Tabela54[[#This Row],[Kolumna12]]*12</f>
        <v>0</v>
      </c>
      <c r="AH181" s="122" t="n">
        <f aca="false">Tabela54[[#This Row],[Kolumna222]]/1.59</f>
        <v>0</v>
      </c>
      <c r="AI181" s="119" t="n">
        <f aca="false">Tabela54[[#This Row],[Kolumna223]]*Tabela54[[#This Row],[Kolumna63]]</f>
        <v>0</v>
      </c>
      <c r="AJ181" s="119"/>
      <c r="AK181" s="122" t="n">
        <f aca="false">Tabela54[[#This Row],[Kolumna34]]*12</f>
        <v>0</v>
      </c>
      <c r="AL181" s="122" t="n">
        <f aca="false">Tabela54[[#This Row],[Kolumna32]]/4.2</f>
        <v>0</v>
      </c>
      <c r="AM181" s="119" t="n">
        <f aca="false">Tabela54[[#This Row],[Kolumna322]]*Tabela54[[#This Row],[Kolumna63]]</f>
        <v>0</v>
      </c>
      <c r="AN181" s="122"/>
      <c r="AO181" s="122" t="n">
        <f aca="false">Tabela54[[#This Row],[Kolumna5]]*Tabela54[[#This Row],[Kolumna63]]</f>
        <v>0</v>
      </c>
      <c r="AP181" s="53" t="n">
        <v>0.4</v>
      </c>
      <c r="AQ181" s="29"/>
      <c r="AR181" s="29"/>
      <c r="AS181" s="29"/>
      <c r="AT181" s="29"/>
    </row>
    <row r="182" customFormat="false" ht="32.25" hidden="false" customHeight="true" outlineLevel="0" collapsed="false">
      <c r="A182" s="25" t="n">
        <v>175</v>
      </c>
      <c r="B182" s="27" t="s">
        <v>241</v>
      </c>
      <c r="C182" s="49" t="s">
        <v>249</v>
      </c>
      <c r="D182" s="134"/>
      <c r="E182" s="135" t="n">
        <v>120</v>
      </c>
      <c r="F18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297.66892</v>
      </c>
      <c r="G182" s="135"/>
      <c r="H182" s="130"/>
      <c r="I182" s="26" t="n">
        <f aca="false">Tabela43[[#This Row],[Kolumna5]]*20700*0.27778</f>
        <v>0</v>
      </c>
      <c r="J182" s="130"/>
      <c r="K182" s="130"/>
      <c r="L182" s="28" t="n">
        <f aca="false">Tabela43[[#This Row],[Kolumna8]]*0.000843882*40190*0.27778</f>
        <v>0</v>
      </c>
      <c r="M182" s="130"/>
      <c r="N182" s="146" t="n">
        <f aca="false">Tabela43[[#This Row],[Kolumna84]]/2.55</f>
        <v>0</v>
      </c>
      <c r="O182" s="28" t="n">
        <f aca="false">Tabela43[[#This Row],[Kolumna82]]*35.94*0.27778</f>
        <v>0</v>
      </c>
      <c r="P182" s="130"/>
      <c r="Q182" s="130"/>
      <c r="R182" s="130" t="n">
        <v>12</v>
      </c>
      <c r="S182" s="116" t="n">
        <f aca="false">Tabela43[[#This Row],[Kolumna92]]*0.65</f>
        <v>7.8</v>
      </c>
      <c r="T182" s="28" t="n">
        <f aca="false">Tabela43[[#This Row],[Kolumna10]]*15600*0.27778</f>
        <v>33800.2704</v>
      </c>
      <c r="U182" s="130"/>
      <c r="V182" s="130"/>
      <c r="W182" s="130"/>
      <c r="X182" s="130" t="n">
        <v>160</v>
      </c>
      <c r="Y182" s="130" t="n">
        <f aca="false">Tabela43[[#This Row],[Kolumna1223]]*12</f>
        <v>1920</v>
      </c>
      <c r="Z182" s="28" t="n">
        <f aca="false">Tabela43[[#This Row],[Kolumna123]]/0.55</f>
        <v>3490.90909090909</v>
      </c>
      <c r="AA182" s="130"/>
      <c r="AB182" s="130"/>
      <c r="AC182" s="125" t="n">
        <f aca="false">Tabela54[[#This Row],[Kolumna22]]*12</f>
        <v>0</v>
      </c>
      <c r="AD182" s="122" t="n">
        <f aca="false">Tabela54[[#This Row],[Kolumna3]]/4.44</f>
        <v>0</v>
      </c>
      <c r="AE182" s="120" t="n">
        <f aca="false">Tabela54[[#This Row],[Kolumna23]]*Tabela54[[#This Row],[Kolumna63]]</f>
        <v>0</v>
      </c>
      <c r="AF182" s="120"/>
      <c r="AG182" s="122" t="n">
        <f aca="false">Tabela54[[#This Row],[Kolumna12]]*12</f>
        <v>0</v>
      </c>
      <c r="AH182" s="122" t="n">
        <f aca="false">Tabela54[[#This Row],[Kolumna222]]/1.59</f>
        <v>0</v>
      </c>
      <c r="AI182" s="119" t="n">
        <f aca="false">Tabela54[[#This Row],[Kolumna223]]*Tabela54[[#This Row],[Kolumna63]]</f>
        <v>0</v>
      </c>
      <c r="AJ182" s="119" t="n">
        <v>400</v>
      </c>
      <c r="AK182" s="122" t="n">
        <f aca="false">Tabela54[[#This Row],[Kolumna34]]*12</f>
        <v>4800</v>
      </c>
      <c r="AL182" s="122" t="n">
        <f aca="false">Tabela54[[#This Row],[Kolumna32]]/4.2</f>
        <v>1142.85714285714</v>
      </c>
      <c r="AM182" s="119" t="n">
        <f aca="false">Tabela54[[#This Row],[Kolumna322]]*Tabela54[[#This Row],[Kolumna63]]</f>
        <v>571.428571428571</v>
      </c>
      <c r="AN182" s="122"/>
      <c r="AO182" s="122" t="n">
        <f aca="false">Tabela54[[#This Row],[Kolumna5]]*Tabela54[[#This Row],[Kolumna63]]</f>
        <v>0</v>
      </c>
      <c r="AP182" s="53" t="n">
        <v>0.5</v>
      </c>
      <c r="AQ182" s="29"/>
      <c r="AR182" s="29"/>
      <c r="AS182" s="29"/>
      <c r="AT182" s="29"/>
    </row>
    <row r="183" customFormat="false" ht="30.75" hidden="false" customHeight="true" outlineLevel="0" collapsed="false">
      <c r="A183" s="40" t="n">
        <v>176</v>
      </c>
      <c r="B183" s="27" t="s">
        <v>241</v>
      </c>
      <c r="C183" s="49" t="s">
        <v>249</v>
      </c>
      <c r="D183" s="49"/>
      <c r="E183" s="143" t="n">
        <v>90</v>
      </c>
      <c r="F18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326.2988</v>
      </c>
      <c r="G183" s="143"/>
      <c r="H183" s="143"/>
      <c r="I183" s="26" t="n">
        <f aca="false">Tabela43[[#This Row],[Kolumna5]]*20700*0.27778</f>
        <v>0</v>
      </c>
      <c r="J183" s="143"/>
      <c r="K183" s="143"/>
      <c r="L183" s="28" t="n">
        <f aca="false">Tabela43[[#This Row],[Kolumna8]]*0.000843882*40190*0.27778</f>
        <v>0</v>
      </c>
      <c r="M183" s="143"/>
      <c r="N183" s="146" t="n">
        <f aca="false">Tabela43[[#This Row],[Kolumna84]]/2.55</f>
        <v>0</v>
      </c>
      <c r="O183" s="28" t="n">
        <f aca="false">Tabela43[[#This Row],[Kolumna82]]*35.94*0.27778</f>
        <v>0</v>
      </c>
      <c r="P183" s="143"/>
      <c r="Q183" s="143"/>
      <c r="R183" s="143" t="n">
        <v>10</v>
      </c>
      <c r="S183" s="116" t="n">
        <f aca="false">Tabela43[[#This Row],[Kolumna92]]*0.65</f>
        <v>6.5</v>
      </c>
      <c r="T183" s="28" t="n">
        <f aca="false">Tabela43[[#This Row],[Kolumna10]]*15600*0.27778</f>
        <v>28166.892</v>
      </c>
      <c r="U183" s="143"/>
      <c r="V183" s="143"/>
      <c r="W183" s="143"/>
      <c r="X183" s="143" t="n">
        <v>100</v>
      </c>
      <c r="Y183" s="130" t="n">
        <f aca="false">Tabela43[[#This Row],[Kolumna1223]]*12</f>
        <v>1200</v>
      </c>
      <c r="Z183" s="28" t="n">
        <f aca="false">Tabela43[[#This Row],[Kolumna123]]/0.55</f>
        <v>2181.81818181818</v>
      </c>
      <c r="AA183" s="130"/>
      <c r="AB183" s="130"/>
      <c r="AC183" s="125" t="n">
        <f aca="false">Tabela54[[#This Row],[Kolumna22]]*12</f>
        <v>0</v>
      </c>
      <c r="AD183" s="122" t="n">
        <f aca="false">Tabela54[[#This Row],[Kolumna3]]/4.44</f>
        <v>0</v>
      </c>
      <c r="AE183" s="120" t="n">
        <f aca="false">Tabela54[[#This Row],[Kolumna23]]*Tabela54[[#This Row],[Kolumna63]]</f>
        <v>0</v>
      </c>
      <c r="AF183" s="120"/>
      <c r="AG183" s="122" t="n">
        <f aca="false">Tabela54[[#This Row],[Kolumna12]]*12</f>
        <v>0</v>
      </c>
      <c r="AH183" s="122" t="n">
        <f aca="false">Tabela54[[#This Row],[Kolumna222]]/1.59</f>
        <v>0</v>
      </c>
      <c r="AI183" s="119" t="n">
        <f aca="false">Tabela54[[#This Row],[Kolumna223]]*Tabela54[[#This Row],[Kolumna63]]</f>
        <v>0</v>
      </c>
      <c r="AJ183" s="119" t="n">
        <v>200</v>
      </c>
      <c r="AK183" s="122" t="n">
        <f aca="false">Tabela54[[#This Row],[Kolumna34]]*12</f>
        <v>2400</v>
      </c>
      <c r="AL183" s="122" t="n">
        <f aca="false">Tabela54[[#This Row],[Kolumna32]]/4.2</f>
        <v>571.428571428571</v>
      </c>
      <c r="AM183" s="119" t="n">
        <f aca="false">Tabela54[[#This Row],[Kolumna322]]*Tabela54[[#This Row],[Kolumna63]]</f>
        <v>171.428571428571</v>
      </c>
      <c r="AN183" s="122"/>
      <c r="AO183" s="122" t="n">
        <f aca="false">Tabela54[[#This Row],[Kolumna5]]*Tabela54[[#This Row],[Kolumna63]]</f>
        <v>0</v>
      </c>
      <c r="AP183" s="53" t="n">
        <v>0.3</v>
      </c>
      <c r="AQ183" s="29"/>
      <c r="AR183" s="29"/>
      <c r="AS183" s="29"/>
      <c r="AT183" s="29"/>
    </row>
    <row r="184" customFormat="false" ht="30.75" hidden="false" customHeight="true" outlineLevel="0" collapsed="false">
      <c r="A184" s="25" t="n">
        <v>177</v>
      </c>
      <c r="B184" s="27" t="s">
        <v>241</v>
      </c>
      <c r="C184" s="49" t="s">
        <v>249</v>
      </c>
      <c r="D184" s="134"/>
      <c r="E184" s="135" t="n">
        <v>110</v>
      </c>
      <c r="F18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325.790345454545</v>
      </c>
      <c r="G184" s="135"/>
      <c r="H184" s="130" t="n">
        <v>1</v>
      </c>
      <c r="I184" s="26" t="n">
        <f aca="false">Tabela43[[#This Row],[Kolumna5]]*20700*0.27778</f>
        <v>5750.046</v>
      </c>
      <c r="J184" s="130"/>
      <c r="K184" s="130"/>
      <c r="L184" s="28" t="n">
        <f aca="false">Tabela43[[#This Row],[Kolumna8]]*0.000843882*40190*0.27778</f>
        <v>0</v>
      </c>
      <c r="M184" s="130"/>
      <c r="N184" s="146" t="n">
        <f aca="false">Tabela43[[#This Row],[Kolumna84]]/2.55</f>
        <v>0</v>
      </c>
      <c r="O184" s="28" t="n">
        <f aca="false">Tabela43[[#This Row],[Kolumna82]]*35.94*0.27778</f>
        <v>0</v>
      </c>
      <c r="P184" s="130"/>
      <c r="Q184" s="130"/>
      <c r="R184" s="130" t="n">
        <v>10</v>
      </c>
      <c r="S184" s="116" t="n">
        <f aca="false">Tabela43[[#This Row],[Kolumna92]]*0.65</f>
        <v>6.5</v>
      </c>
      <c r="T184" s="28" t="n">
        <f aca="false">Tabela43[[#This Row],[Kolumna10]]*15600*0.27778</f>
        <v>28166.892</v>
      </c>
      <c r="U184" s="130"/>
      <c r="V184" s="130"/>
      <c r="W184" s="130"/>
      <c r="X184" s="130" t="n">
        <v>160</v>
      </c>
      <c r="Y184" s="130" t="n">
        <f aca="false">Tabela43[[#This Row],[Kolumna1223]]*12</f>
        <v>1920</v>
      </c>
      <c r="Z184" s="28" t="n">
        <f aca="false">Tabela43[[#This Row],[Kolumna123]]/0.55</f>
        <v>3490.90909090909</v>
      </c>
      <c r="AA184" s="130"/>
      <c r="AB184" s="130"/>
      <c r="AC184" s="125" t="n">
        <f aca="false">Tabela54[[#This Row],[Kolumna22]]*12</f>
        <v>0</v>
      </c>
      <c r="AD184" s="122" t="n">
        <f aca="false">Tabela54[[#This Row],[Kolumna3]]/4.44</f>
        <v>0</v>
      </c>
      <c r="AE184" s="120" t="n">
        <f aca="false">Tabela54[[#This Row],[Kolumna23]]*Tabela54[[#This Row],[Kolumna63]]</f>
        <v>0</v>
      </c>
      <c r="AF184" s="120"/>
      <c r="AG184" s="122" t="n">
        <f aca="false">Tabela54[[#This Row],[Kolumna12]]*12</f>
        <v>0</v>
      </c>
      <c r="AH184" s="122" t="n">
        <f aca="false">Tabela54[[#This Row],[Kolumna222]]/1.59</f>
        <v>0</v>
      </c>
      <c r="AI184" s="119" t="n">
        <f aca="false">Tabela54[[#This Row],[Kolumna223]]*Tabela54[[#This Row],[Kolumna63]]</f>
        <v>0</v>
      </c>
      <c r="AJ184" s="119" t="n">
        <v>200</v>
      </c>
      <c r="AK184" s="122" t="n">
        <f aca="false">Tabela54[[#This Row],[Kolumna34]]*12</f>
        <v>2400</v>
      </c>
      <c r="AL184" s="122" t="n">
        <f aca="false">Tabela54[[#This Row],[Kolumna32]]/4.2</f>
        <v>571.428571428571</v>
      </c>
      <c r="AM184" s="119" t="n">
        <f aca="false">Tabela54[[#This Row],[Kolumna322]]*Tabela54[[#This Row],[Kolumna63]]</f>
        <v>57.1428571428571</v>
      </c>
      <c r="AN184" s="122"/>
      <c r="AO184" s="122" t="n">
        <f aca="false">Tabela54[[#This Row],[Kolumna5]]*Tabela54[[#This Row],[Kolumna63]]</f>
        <v>0</v>
      </c>
      <c r="AP184" s="53" t="n">
        <v>0.1</v>
      </c>
      <c r="AQ184" s="29"/>
      <c r="AR184" s="29"/>
      <c r="AS184" s="29"/>
      <c r="AT184" s="29"/>
    </row>
    <row r="185" customFormat="false" ht="33" hidden="false" customHeight="true" outlineLevel="0" collapsed="false">
      <c r="A185" s="25" t="n">
        <v>178</v>
      </c>
      <c r="B185" s="27" t="s">
        <v>241</v>
      </c>
      <c r="C185" s="49" t="s">
        <v>249</v>
      </c>
      <c r="D185" s="134"/>
      <c r="E185" s="135" t="n">
        <v>250</v>
      </c>
      <c r="F18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213.534888</v>
      </c>
      <c r="G185" s="135"/>
      <c r="H185" s="130" t="n">
        <v>6</v>
      </c>
      <c r="I185" s="26" t="n">
        <f aca="false">Tabela43[[#This Row],[Kolumna5]]*20700*0.27778</f>
        <v>34500.276</v>
      </c>
      <c r="J185" s="130"/>
      <c r="K185" s="130"/>
      <c r="L185" s="28" t="n">
        <f aca="false">Tabela43[[#This Row],[Kolumna8]]*0.000843882*40190*0.27778</f>
        <v>0</v>
      </c>
      <c r="M185" s="130"/>
      <c r="N185" s="146" t="n">
        <f aca="false">Tabela43[[#This Row],[Kolumna84]]/2.55</f>
        <v>0</v>
      </c>
      <c r="O185" s="28" t="n">
        <f aca="false">Tabela43[[#This Row],[Kolumna82]]*35.94*0.27778</f>
        <v>0</v>
      </c>
      <c r="P185" s="130"/>
      <c r="Q185" s="130"/>
      <c r="R185" s="130" t="n">
        <v>5</v>
      </c>
      <c r="S185" s="116" t="n">
        <f aca="false">Tabela43[[#This Row],[Kolumna92]]*0.65</f>
        <v>3.25</v>
      </c>
      <c r="T185" s="28" t="n">
        <f aca="false">Tabela43[[#This Row],[Kolumna10]]*15600*0.27778</f>
        <v>14083.446</v>
      </c>
      <c r="U185" s="130"/>
      <c r="V185" s="130"/>
      <c r="W185" s="130"/>
      <c r="X185" s="130" t="n">
        <v>400</v>
      </c>
      <c r="Y185" s="130" t="n">
        <f aca="false">Tabela43[[#This Row],[Kolumna1223]]*12</f>
        <v>4800</v>
      </c>
      <c r="Z185" s="28" t="n">
        <f aca="false">Tabela43[[#This Row],[Kolumna123]]/0.55</f>
        <v>8727.27272727273</v>
      </c>
      <c r="AA185" s="130"/>
      <c r="AB185" s="130"/>
      <c r="AC185" s="125" t="n">
        <f aca="false">Tabela54[[#This Row],[Kolumna22]]*12</f>
        <v>0</v>
      </c>
      <c r="AD185" s="122" t="n">
        <f aca="false">Tabela54[[#This Row],[Kolumna3]]/4.44</f>
        <v>0</v>
      </c>
      <c r="AE185" s="120" t="n">
        <f aca="false">Tabela54[[#This Row],[Kolumna23]]*Tabela54[[#This Row],[Kolumna63]]</f>
        <v>0</v>
      </c>
      <c r="AF185" s="120" t="n">
        <v>200</v>
      </c>
      <c r="AG185" s="122" t="n">
        <f aca="false">Tabela54[[#This Row],[Kolumna12]]*12</f>
        <v>2400</v>
      </c>
      <c r="AH185" s="122" t="n">
        <f aca="false">Tabela54[[#This Row],[Kolumna222]]/1.59</f>
        <v>1509.43396226415</v>
      </c>
      <c r="AI185" s="119" t="n">
        <f aca="false">Tabela54[[#This Row],[Kolumna223]]*Tabela54[[#This Row],[Kolumna63]]</f>
        <v>452.830188679245</v>
      </c>
      <c r="AJ185" s="119" t="n">
        <v>400</v>
      </c>
      <c r="AK185" s="122" t="n">
        <f aca="false">Tabela54[[#This Row],[Kolumna34]]*12</f>
        <v>4800</v>
      </c>
      <c r="AL185" s="122" t="n">
        <f aca="false">Tabela54[[#This Row],[Kolumna32]]/4.2</f>
        <v>1142.85714285714</v>
      </c>
      <c r="AM185" s="119" t="n">
        <f aca="false">Tabela54[[#This Row],[Kolumna322]]*Tabela54[[#This Row],[Kolumna63]]</f>
        <v>342.857142857143</v>
      </c>
      <c r="AN185" s="122"/>
      <c r="AO185" s="122" t="n">
        <f aca="false">Tabela54[[#This Row],[Kolumna5]]*Tabela54[[#This Row],[Kolumna63]]</f>
        <v>0</v>
      </c>
      <c r="AP185" s="53" t="n">
        <v>0.3</v>
      </c>
      <c r="AQ185" s="29"/>
      <c r="AR185" s="29"/>
      <c r="AS185" s="29"/>
      <c r="AT185" s="29"/>
    </row>
    <row r="186" customFormat="false" ht="34.5" hidden="false" customHeight="true" outlineLevel="0" collapsed="false">
      <c r="A186" s="40" t="n">
        <v>179</v>
      </c>
      <c r="B186" s="27" t="s">
        <v>241</v>
      </c>
      <c r="C186" s="49" t="s">
        <v>249</v>
      </c>
      <c r="D186" s="134"/>
      <c r="E186" s="135" t="n">
        <v>160</v>
      </c>
      <c r="F18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264.376995</v>
      </c>
      <c r="G186" s="135"/>
      <c r="H186" s="130" t="n">
        <v>4</v>
      </c>
      <c r="I186" s="26" t="n">
        <f aca="false">Tabela43[[#This Row],[Kolumna5]]*20700*0.27778</f>
        <v>23000.184</v>
      </c>
      <c r="J186" s="130"/>
      <c r="K186" s="130"/>
      <c r="L186" s="28" t="n">
        <f aca="false">Tabela43[[#This Row],[Kolumna8]]*0.000843882*40190*0.27778</f>
        <v>0</v>
      </c>
      <c r="M186" s="130"/>
      <c r="N186" s="146" t="n">
        <f aca="false">Tabela43[[#This Row],[Kolumna84]]/2.55</f>
        <v>0</v>
      </c>
      <c r="O186" s="28" t="n">
        <f aca="false">Tabela43[[#This Row],[Kolumna82]]*35.94*0.27778</f>
        <v>0</v>
      </c>
      <c r="P186" s="130"/>
      <c r="Q186" s="130"/>
      <c r="R186" s="130" t="n">
        <v>6</v>
      </c>
      <c r="S186" s="116" t="n">
        <f aca="false">Tabela43[[#This Row],[Kolumna92]]*0.65</f>
        <v>3.9</v>
      </c>
      <c r="T186" s="28" t="n">
        <f aca="false">Tabela43[[#This Row],[Kolumna10]]*15600*0.27778</f>
        <v>16900.1352</v>
      </c>
      <c r="U186" s="130"/>
      <c r="V186" s="130"/>
      <c r="W186" s="130"/>
      <c r="X186" s="130" t="n">
        <v>200</v>
      </c>
      <c r="Y186" s="130" t="n">
        <f aca="false">Tabela43[[#This Row],[Kolumna1223]]*12</f>
        <v>2400</v>
      </c>
      <c r="Z186" s="28" t="n">
        <f aca="false">Tabela43[[#This Row],[Kolumna123]]/0.55</f>
        <v>4363.63636363636</v>
      </c>
      <c r="AA186" s="130"/>
      <c r="AB186" s="130"/>
      <c r="AC186" s="125" t="n">
        <f aca="false">Tabela54[[#This Row],[Kolumna22]]*12</f>
        <v>0</v>
      </c>
      <c r="AD186" s="122" t="n">
        <f aca="false">Tabela54[[#This Row],[Kolumna3]]/4.44</f>
        <v>0</v>
      </c>
      <c r="AE186" s="120" t="n">
        <f aca="false">Tabela54[[#This Row],[Kolumna23]]*Tabela54[[#This Row],[Kolumna63]]</f>
        <v>0</v>
      </c>
      <c r="AF186" s="120"/>
      <c r="AG186" s="122" t="n">
        <f aca="false">Tabela54[[#This Row],[Kolumna12]]*12</f>
        <v>0</v>
      </c>
      <c r="AH186" s="122" t="n">
        <f aca="false">Tabela54[[#This Row],[Kolumna222]]/1.59</f>
        <v>0</v>
      </c>
      <c r="AI186" s="119" t="n">
        <f aca="false">Tabela54[[#This Row],[Kolumna223]]*Tabela54[[#This Row],[Kolumna63]]</f>
        <v>0</v>
      </c>
      <c r="AJ186" s="119" t="n">
        <v>300</v>
      </c>
      <c r="AK186" s="122" t="n">
        <f aca="false">Tabela54[[#This Row],[Kolumna34]]*12</f>
        <v>3600</v>
      </c>
      <c r="AL186" s="122" t="n">
        <f aca="false">Tabela54[[#This Row],[Kolumna32]]/4.2</f>
        <v>857.142857142857</v>
      </c>
      <c r="AM186" s="119" t="n">
        <f aca="false">Tabela54[[#This Row],[Kolumna322]]*Tabela54[[#This Row],[Kolumna63]]</f>
        <v>342.857142857143</v>
      </c>
      <c r="AN186" s="122"/>
      <c r="AO186" s="122" t="n">
        <f aca="false">Tabela54[[#This Row],[Kolumna5]]*Tabela54[[#This Row],[Kolumna63]]</f>
        <v>0</v>
      </c>
      <c r="AP186" s="53" t="n">
        <v>0.4</v>
      </c>
      <c r="AQ186" s="29"/>
      <c r="AR186" s="29"/>
      <c r="AS186" s="29"/>
      <c r="AT186" s="29"/>
    </row>
    <row r="187" customFormat="false" ht="37.5" hidden="false" customHeight="true" outlineLevel="0" collapsed="false">
      <c r="A187" s="25" t="n">
        <v>180</v>
      </c>
      <c r="B187" s="27" t="s">
        <v>241</v>
      </c>
      <c r="C187" s="49" t="s">
        <v>249</v>
      </c>
      <c r="D187" s="134"/>
      <c r="E187" s="135" t="n">
        <v>80</v>
      </c>
      <c r="F18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379.08615</v>
      </c>
      <c r="G187" s="135"/>
      <c r="H187" s="130"/>
      <c r="I187" s="26" t="n">
        <f aca="false">Tabela43[[#This Row],[Kolumna5]]*20700*0.27778</f>
        <v>0</v>
      </c>
      <c r="J187" s="130"/>
      <c r="K187" s="130"/>
      <c r="L187" s="28" t="n">
        <f aca="false">Tabela43[[#This Row],[Kolumna8]]*0.000843882*40190*0.27778</f>
        <v>0</v>
      </c>
      <c r="M187" s="130"/>
      <c r="N187" s="146" t="n">
        <f aca="false">Tabela43[[#This Row],[Kolumna84]]/2.55</f>
        <v>0</v>
      </c>
      <c r="O187" s="28" t="n">
        <f aca="false">Tabela43[[#This Row],[Kolumna82]]*35.94*0.27778</f>
        <v>0</v>
      </c>
      <c r="P187" s="130"/>
      <c r="Q187" s="130"/>
      <c r="R187" s="130" t="n">
        <v>10</v>
      </c>
      <c r="S187" s="116" t="n">
        <f aca="false">Tabela43[[#This Row],[Kolumna92]]*0.65</f>
        <v>6.5</v>
      </c>
      <c r="T187" s="28" t="n">
        <f aca="false">Tabela43[[#This Row],[Kolumna10]]*15600*0.27778</f>
        <v>28166.892</v>
      </c>
      <c r="U187" s="130"/>
      <c r="V187" s="130"/>
      <c r="W187" s="130"/>
      <c r="X187" s="130" t="n">
        <v>180</v>
      </c>
      <c r="Y187" s="130" t="n">
        <f aca="false">Tabela43[[#This Row],[Kolumna1223]]*12</f>
        <v>2160</v>
      </c>
      <c r="Z187" s="28" t="n">
        <f aca="false">Tabela43[[#This Row],[Kolumna123]]/0.55</f>
        <v>3927.27272727273</v>
      </c>
      <c r="AA187" s="130"/>
      <c r="AB187" s="130" t="n">
        <v>200</v>
      </c>
      <c r="AC187" s="125" t="n">
        <f aca="false">Tabela54[[#This Row],[Kolumna22]]*12</f>
        <v>2400</v>
      </c>
      <c r="AD187" s="122" t="n">
        <f aca="false">Tabela54[[#This Row],[Kolumna3]]/4.44</f>
        <v>540.540540540541</v>
      </c>
      <c r="AE187" s="120" t="n">
        <f aca="false">Tabela54[[#This Row],[Kolumna23]]*Tabela54[[#This Row],[Kolumna63]]</f>
        <v>162.162162162162</v>
      </c>
      <c r="AF187" s="120"/>
      <c r="AG187" s="122" t="n">
        <f aca="false">Tabela54[[#This Row],[Kolumna12]]*12</f>
        <v>0</v>
      </c>
      <c r="AH187" s="122" t="n">
        <f aca="false">Tabela54[[#This Row],[Kolumna222]]/1.59</f>
        <v>0</v>
      </c>
      <c r="AI187" s="119" t="n">
        <f aca="false">Tabela54[[#This Row],[Kolumna223]]*Tabela54[[#This Row],[Kolumna63]]</f>
        <v>0</v>
      </c>
      <c r="AJ187" s="119"/>
      <c r="AK187" s="122" t="n">
        <f aca="false">Tabela54[[#This Row],[Kolumna34]]*12</f>
        <v>0</v>
      </c>
      <c r="AL187" s="122" t="n">
        <f aca="false">Tabela54[[#This Row],[Kolumna32]]/4.2</f>
        <v>0</v>
      </c>
      <c r="AM187" s="119" t="n">
        <f aca="false">Tabela54[[#This Row],[Kolumna322]]*Tabela54[[#This Row],[Kolumna63]]</f>
        <v>0</v>
      </c>
      <c r="AN187" s="122"/>
      <c r="AO187" s="122" t="n">
        <f aca="false">Tabela54[[#This Row],[Kolumna5]]*Tabela54[[#This Row],[Kolumna63]]</f>
        <v>0</v>
      </c>
      <c r="AP187" s="53" t="n">
        <v>0.3</v>
      </c>
      <c r="AQ187" s="29"/>
      <c r="AR187" s="29"/>
      <c r="AS187" s="29"/>
      <c r="AT187" s="29"/>
    </row>
    <row r="188" customFormat="false" ht="35.25" hidden="false" customHeight="true" outlineLevel="0" collapsed="false">
      <c r="A188" s="25" t="n">
        <v>181</v>
      </c>
      <c r="B188" s="27" t="s">
        <v>241</v>
      </c>
      <c r="C188" s="49" t="s">
        <v>249</v>
      </c>
      <c r="D188" s="134"/>
      <c r="E188" s="135" t="n">
        <v>120</v>
      </c>
      <c r="F18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250.7241</v>
      </c>
      <c r="G188" s="135"/>
      <c r="H188" s="130"/>
      <c r="I188" s="26" t="n">
        <f aca="false">Tabela43[[#This Row],[Kolumna5]]*20700*0.27778</f>
        <v>0</v>
      </c>
      <c r="J188" s="130"/>
      <c r="K188" s="130"/>
      <c r="L188" s="28" t="n">
        <f aca="false">Tabela43[[#This Row],[Kolumna8]]*0.000843882*40190*0.27778</f>
        <v>0</v>
      </c>
      <c r="M188" s="130"/>
      <c r="N188" s="146" t="n">
        <f aca="false">Tabela43[[#This Row],[Kolumna84]]/2.55</f>
        <v>0</v>
      </c>
      <c r="O188" s="28" t="n">
        <f aca="false">Tabela43[[#This Row],[Kolumna82]]*35.94*0.27778</f>
        <v>0</v>
      </c>
      <c r="P188" s="130"/>
      <c r="Q188" s="130"/>
      <c r="R188" s="130" t="n">
        <v>10</v>
      </c>
      <c r="S188" s="116" t="n">
        <f aca="false">Tabela43[[#This Row],[Kolumna92]]*0.65</f>
        <v>6.5</v>
      </c>
      <c r="T188" s="28" t="n">
        <f aca="false">Tabela43[[#This Row],[Kolumna10]]*15600*0.27778</f>
        <v>28166.892</v>
      </c>
      <c r="U188" s="130"/>
      <c r="V188" s="130"/>
      <c r="W188" s="130"/>
      <c r="X188" s="130" t="n">
        <v>160</v>
      </c>
      <c r="Y188" s="130" t="n">
        <f aca="false">Tabela43[[#This Row],[Kolumna1223]]*12</f>
        <v>1920</v>
      </c>
      <c r="Z188" s="28" t="n">
        <f aca="false">Tabela43[[#This Row],[Kolumna123]]/0.55</f>
        <v>3490.90909090909</v>
      </c>
      <c r="AA188" s="130"/>
      <c r="AB188" s="130" t="n">
        <v>300</v>
      </c>
      <c r="AC188" s="125" t="n">
        <f aca="false">Tabela54[[#This Row],[Kolumna22]]*12</f>
        <v>3600</v>
      </c>
      <c r="AD188" s="122" t="n">
        <f aca="false">Tabela54[[#This Row],[Kolumna3]]/4.44</f>
        <v>810.810810810811</v>
      </c>
      <c r="AE188" s="120" t="n">
        <f aca="false">Tabela54[[#This Row],[Kolumna23]]*Tabela54[[#This Row],[Kolumna63]]</f>
        <v>405.405405405405</v>
      </c>
      <c r="AF188" s="120"/>
      <c r="AG188" s="122" t="n">
        <f aca="false">Tabela54[[#This Row],[Kolumna12]]*12</f>
        <v>0</v>
      </c>
      <c r="AH188" s="122" t="n">
        <f aca="false">Tabela54[[#This Row],[Kolumna222]]/1.59</f>
        <v>0</v>
      </c>
      <c r="AI188" s="119" t="n">
        <f aca="false">Tabela54[[#This Row],[Kolumna223]]*Tabela54[[#This Row],[Kolumna63]]</f>
        <v>0</v>
      </c>
      <c r="AJ188" s="119"/>
      <c r="AK188" s="122" t="n">
        <f aca="false">Tabela54[[#This Row],[Kolumna34]]*12</f>
        <v>0</v>
      </c>
      <c r="AL188" s="122" t="n">
        <f aca="false">Tabela54[[#This Row],[Kolumna32]]/4.2</f>
        <v>0</v>
      </c>
      <c r="AM188" s="119" t="n">
        <f aca="false">Tabela54[[#This Row],[Kolumna322]]*Tabela54[[#This Row],[Kolumna63]]</f>
        <v>0</v>
      </c>
      <c r="AN188" s="122"/>
      <c r="AO188" s="122" t="n">
        <f aca="false">Tabela54[[#This Row],[Kolumna5]]*Tabela54[[#This Row],[Kolumna63]]</f>
        <v>0</v>
      </c>
      <c r="AP188" s="53" t="n">
        <v>0.5</v>
      </c>
      <c r="AQ188" s="29"/>
      <c r="AR188" s="29"/>
      <c r="AS188" s="29"/>
      <c r="AT188" s="29"/>
    </row>
    <row r="189" customFormat="false" ht="38.25" hidden="false" customHeight="true" outlineLevel="0" collapsed="false">
      <c r="A189" s="40" t="n">
        <v>182</v>
      </c>
      <c r="B189" s="27" t="s">
        <v>241</v>
      </c>
      <c r="C189" s="49" t="s">
        <v>249</v>
      </c>
      <c r="D189" s="134"/>
      <c r="E189" s="135" t="n">
        <v>100</v>
      </c>
      <c r="F18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352.402704</v>
      </c>
      <c r="G189" s="135"/>
      <c r="H189" s="130"/>
      <c r="I189" s="26" t="n">
        <f aca="false">Tabela43[[#This Row],[Kolumna5]]*20700*0.27778</f>
        <v>0</v>
      </c>
      <c r="J189" s="130"/>
      <c r="K189" s="130"/>
      <c r="L189" s="28" t="n">
        <f aca="false">Tabela43[[#This Row],[Kolumna8]]*0.000843882*40190*0.27778</f>
        <v>0</v>
      </c>
      <c r="M189" s="130"/>
      <c r="N189" s="146" t="n">
        <f aca="false">Tabela43[[#This Row],[Kolumna84]]/2.55</f>
        <v>0</v>
      </c>
      <c r="O189" s="28" t="n">
        <f aca="false">Tabela43[[#This Row],[Kolumna82]]*35.94*0.27778</f>
        <v>0</v>
      </c>
      <c r="P189" s="130"/>
      <c r="Q189" s="130"/>
      <c r="R189" s="130" t="n">
        <v>12</v>
      </c>
      <c r="S189" s="116" t="n">
        <f aca="false">Tabela43[[#This Row],[Kolumna92]]*0.65</f>
        <v>7.8</v>
      </c>
      <c r="T189" s="28" t="n">
        <f aca="false">Tabela43[[#This Row],[Kolumna10]]*15600*0.27778</f>
        <v>33800.2704</v>
      </c>
      <c r="U189" s="130"/>
      <c r="V189" s="130"/>
      <c r="W189" s="130"/>
      <c r="X189" s="130" t="n">
        <v>120</v>
      </c>
      <c r="Y189" s="130" t="n">
        <f aca="false">Tabela43[[#This Row],[Kolumna1223]]*12</f>
        <v>1440</v>
      </c>
      <c r="Z189" s="28" t="n">
        <f aca="false">Tabela43[[#This Row],[Kolumna123]]/0.55</f>
        <v>2618.18181818182</v>
      </c>
      <c r="AA189" s="130"/>
      <c r="AB189" s="130"/>
      <c r="AC189" s="125" t="n">
        <f aca="false">Tabela54[[#This Row],[Kolumna22]]*12</f>
        <v>0</v>
      </c>
      <c r="AD189" s="122" t="n">
        <f aca="false">Tabela54[[#This Row],[Kolumna3]]/4.44</f>
        <v>0</v>
      </c>
      <c r="AE189" s="120" t="n">
        <f aca="false">Tabela54[[#This Row],[Kolumna23]]*Tabela54[[#This Row],[Kolumna63]]</f>
        <v>0</v>
      </c>
      <c r="AF189" s="120" t="n">
        <v>100</v>
      </c>
      <c r="AG189" s="122" t="n">
        <f aca="false">Tabela54[[#This Row],[Kolumna12]]*12</f>
        <v>1200</v>
      </c>
      <c r="AH189" s="122" t="n">
        <f aca="false">Tabela54[[#This Row],[Kolumna222]]/1.59</f>
        <v>754.716981132076</v>
      </c>
      <c r="AI189" s="119" t="n">
        <f aca="false">Tabela54[[#This Row],[Kolumna223]]*Tabela54[[#This Row],[Kolumna63]]</f>
        <v>301.88679245283</v>
      </c>
      <c r="AJ189" s="119" t="n">
        <v>300</v>
      </c>
      <c r="AK189" s="122" t="n">
        <f aca="false">Tabela54[[#This Row],[Kolumna34]]*12</f>
        <v>3600</v>
      </c>
      <c r="AL189" s="122" t="n">
        <f aca="false">Tabela54[[#This Row],[Kolumna32]]/4.2</f>
        <v>857.142857142857</v>
      </c>
      <c r="AM189" s="119" t="n">
        <f aca="false">Tabela54[[#This Row],[Kolumna322]]*Tabela54[[#This Row],[Kolumna63]]</f>
        <v>342.857142857143</v>
      </c>
      <c r="AN189" s="122"/>
      <c r="AO189" s="122" t="n">
        <f aca="false">Tabela54[[#This Row],[Kolumna5]]*Tabela54[[#This Row],[Kolumna63]]</f>
        <v>0</v>
      </c>
      <c r="AP189" s="53" t="n">
        <v>0.4</v>
      </c>
      <c r="AQ189" s="29"/>
      <c r="AR189" s="29"/>
      <c r="AS189" s="29"/>
      <c r="AT189" s="29"/>
    </row>
    <row r="190" customFormat="false" ht="32.25" hidden="false" customHeight="true" outlineLevel="0" collapsed="false">
      <c r="A190" s="25" t="n">
        <v>183</v>
      </c>
      <c r="B190" s="27" t="s">
        <v>241</v>
      </c>
      <c r="C190" s="49" t="s">
        <v>249</v>
      </c>
      <c r="D190" s="134"/>
      <c r="E190" s="135" t="n">
        <v>150</v>
      </c>
      <c r="F19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205.290416</v>
      </c>
      <c r="G190" s="135"/>
      <c r="H190" s="130" t="n">
        <v>4</v>
      </c>
      <c r="I190" s="26" t="n">
        <f aca="false">Tabela43[[#This Row],[Kolumna5]]*20700*0.27778</f>
        <v>23000.184</v>
      </c>
      <c r="J190" s="130"/>
      <c r="K190" s="130"/>
      <c r="L190" s="28" t="n">
        <f aca="false">Tabela43[[#This Row],[Kolumna8]]*0.000843882*40190*0.27778</f>
        <v>0</v>
      </c>
      <c r="M190" s="130"/>
      <c r="N190" s="146" t="n">
        <f aca="false">Tabela43[[#This Row],[Kolumna84]]/2.55</f>
        <v>0</v>
      </c>
      <c r="O190" s="28" t="n">
        <f aca="false">Tabela43[[#This Row],[Kolumna82]]*35.94*0.27778</f>
        <v>0</v>
      </c>
      <c r="P190" s="130"/>
      <c r="Q190" s="130"/>
      <c r="R190" s="130" t="n">
        <v>2</v>
      </c>
      <c r="S190" s="116" t="n">
        <f aca="false">Tabela43[[#This Row],[Kolumna92]]*0.65</f>
        <v>1.3</v>
      </c>
      <c r="T190" s="28" t="n">
        <f aca="false">Tabela43[[#This Row],[Kolumna10]]*15600*0.27778</f>
        <v>5633.3784</v>
      </c>
      <c r="U190" s="130"/>
      <c r="V190" s="130"/>
      <c r="W190" s="130"/>
      <c r="X190" s="130" t="n">
        <v>180</v>
      </c>
      <c r="Y190" s="130" t="n">
        <f aca="false">Tabela43[[#This Row],[Kolumna1223]]*12</f>
        <v>2160</v>
      </c>
      <c r="Z190" s="28" t="n">
        <f aca="false">Tabela43[[#This Row],[Kolumna123]]/0.55</f>
        <v>3927.27272727273</v>
      </c>
      <c r="AA190" s="130"/>
      <c r="AB190" s="130" t="n">
        <v>300</v>
      </c>
      <c r="AC190" s="125" t="n">
        <f aca="false">Tabela54[[#This Row],[Kolumna22]]*12</f>
        <v>3600</v>
      </c>
      <c r="AD190" s="122" t="n">
        <f aca="false">Tabela54[[#This Row],[Kolumna3]]/4.44</f>
        <v>810.810810810811</v>
      </c>
      <c r="AE190" s="120" t="n">
        <f aca="false">Tabela54[[#This Row],[Kolumna23]]*Tabela54[[#This Row],[Kolumna63]]</f>
        <v>324.324324324324</v>
      </c>
      <c r="AF190" s="120"/>
      <c r="AG190" s="122" t="n">
        <f aca="false">Tabela54[[#This Row],[Kolumna12]]*12</f>
        <v>0</v>
      </c>
      <c r="AH190" s="122" t="n">
        <f aca="false">Tabela54[[#This Row],[Kolumna222]]/1.59</f>
        <v>0</v>
      </c>
      <c r="AI190" s="119" t="n">
        <f aca="false">Tabela54[[#This Row],[Kolumna223]]*Tabela54[[#This Row],[Kolumna63]]</f>
        <v>0</v>
      </c>
      <c r="AJ190" s="119"/>
      <c r="AK190" s="122" t="n">
        <f aca="false">Tabela54[[#This Row],[Kolumna34]]*12</f>
        <v>0</v>
      </c>
      <c r="AL190" s="122" t="n">
        <f aca="false">Tabela54[[#This Row],[Kolumna32]]/4.2</f>
        <v>0</v>
      </c>
      <c r="AM190" s="119" t="n">
        <f aca="false">Tabela54[[#This Row],[Kolumna322]]*Tabela54[[#This Row],[Kolumna63]]</f>
        <v>0</v>
      </c>
      <c r="AN190" s="122"/>
      <c r="AO190" s="122" t="n">
        <f aca="false">Tabela54[[#This Row],[Kolumna5]]*Tabela54[[#This Row],[Kolumna63]]</f>
        <v>0</v>
      </c>
      <c r="AP190" s="53" t="n">
        <v>0.4</v>
      </c>
      <c r="AQ190" s="29"/>
      <c r="AR190" s="29"/>
      <c r="AS190" s="29"/>
      <c r="AT190" s="29"/>
    </row>
    <row r="191" customFormat="false" ht="29.25" hidden="false" customHeight="true" outlineLevel="0" collapsed="false">
      <c r="A191" s="25" t="n">
        <v>184</v>
      </c>
      <c r="B191" s="27" t="s">
        <v>241</v>
      </c>
      <c r="C191" s="49" t="s">
        <v>242</v>
      </c>
      <c r="D191" s="134"/>
      <c r="E191" s="135" t="n">
        <v>240</v>
      </c>
      <c r="F19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186.737445</v>
      </c>
      <c r="G191" s="135"/>
      <c r="H191" s="130" t="n">
        <v>5</v>
      </c>
      <c r="I191" s="26" t="n">
        <f aca="false">Tabela43[[#This Row],[Kolumna5]]*20700*0.27778</f>
        <v>28750.23</v>
      </c>
      <c r="J191" s="130"/>
      <c r="K191" s="130"/>
      <c r="L191" s="28" t="n">
        <f aca="false">Tabela43[[#This Row],[Kolumna8]]*0.000843882*40190*0.27778</f>
        <v>0</v>
      </c>
      <c r="M191" s="130"/>
      <c r="N191" s="146" t="n">
        <f aca="false">Tabela43[[#This Row],[Kolumna84]]/2.55</f>
        <v>0</v>
      </c>
      <c r="O191" s="28" t="n">
        <f aca="false">Tabela43[[#This Row],[Kolumna82]]*35.94*0.27778</f>
        <v>0</v>
      </c>
      <c r="P191" s="130"/>
      <c r="Q191" s="130"/>
      <c r="R191" s="130" t="n">
        <v>4</v>
      </c>
      <c r="S191" s="116" t="n">
        <f aca="false">Tabela43[[#This Row],[Kolumna92]]*0.65</f>
        <v>2.6</v>
      </c>
      <c r="T191" s="28" t="n">
        <f aca="false">Tabela43[[#This Row],[Kolumna10]]*15600*0.27778</f>
        <v>11266.7568</v>
      </c>
      <c r="U191" s="130"/>
      <c r="V191" s="130"/>
      <c r="W191" s="130"/>
      <c r="X191" s="130" t="n">
        <v>400</v>
      </c>
      <c r="Y191" s="130" t="n">
        <f aca="false">Tabela43[[#This Row],[Kolumna1223]]*12</f>
        <v>4800</v>
      </c>
      <c r="Z191" s="28" t="n">
        <f aca="false">Tabela43[[#This Row],[Kolumna123]]/0.55</f>
        <v>8727.27272727273</v>
      </c>
      <c r="AA191" s="130"/>
      <c r="AB191" s="130"/>
      <c r="AC191" s="125" t="n">
        <f aca="false">Tabela54[[#This Row],[Kolumna22]]*12</f>
        <v>0</v>
      </c>
      <c r="AD191" s="122" t="n">
        <f aca="false">Tabela54[[#This Row],[Kolumna3]]/4.44</f>
        <v>0</v>
      </c>
      <c r="AE191" s="120" t="n">
        <f aca="false">Tabela54[[#This Row],[Kolumna23]]*Tabela54[[#This Row],[Kolumna63]]</f>
        <v>0</v>
      </c>
      <c r="AF191" s="120"/>
      <c r="AG191" s="122" t="n">
        <f aca="false">Tabela54[[#This Row],[Kolumna12]]*12</f>
        <v>0</v>
      </c>
      <c r="AH191" s="122" t="n">
        <f aca="false">Tabela54[[#This Row],[Kolumna222]]/1.59</f>
        <v>0</v>
      </c>
      <c r="AI191" s="119" t="n">
        <f aca="false">Tabela54[[#This Row],[Kolumna223]]*Tabela54[[#This Row],[Kolumna63]]</f>
        <v>0</v>
      </c>
      <c r="AJ191" s="119" t="n">
        <v>500</v>
      </c>
      <c r="AK191" s="122" t="n">
        <f aca="false">Tabela54[[#This Row],[Kolumna34]]*12</f>
        <v>6000</v>
      </c>
      <c r="AL191" s="122" t="n">
        <f aca="false">Tabela54[[#This Row],[Kolumna32]]/4.2</f>
        <v>1428.57142857143</v>
      </c>
      <c r="AM191" s="119" t="n">
        <f aca="false">Tabela54[[#This Row],[Kolumna322]]*Tabela54[[#This Row],[Kolumna63]]</f>
        <v>571.428571428571</v>
      </c>
      <c r="AN191" s="122"/>
      <c r="AO191" s="122" t="n">
        <f aca="false">Tabela54[[#This Row],[Kolumna5]]*Tabela54[[#This Row],[Kolumna63]]</f>
        <v>0</v>
      </c>
      <c r="AP191" s="53" t="n">
        <v>0.4</v>
      </c>
      <c r="AQ191" s="29"/>
      <c r="AR191" s="29"/>
      <c r="AS191" s="29"/>
      <c r="AT191" s="29"/>
    </row>
    <row r="192" customFormat="false" ht="25.5" hidden="false" customHeight="true" outlineLevel="0" collapsed="false">
      <c r="A192" s="40" t="n">
        <v>185</v>
      </c>
      <c r="B192" s="27" t="s">
        <v>241</v>
      </c>
      <c r="C192" s="49" t="s">
        <v>242</v>
      </c>
      <c r="D192" s="134"/>
      <c r="E192" s="135" t="n">
        <v>180</v>
      </c>
      <c r="F19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172.40868</v>
      </c>
      <c r="G192" s="135"/>
      <c r="H192" s="130" t="n">
        <v>4</v>
      </c>
      <c r="I192" s="26" t="n">
        <f aca="false">Tabela43[[#This Row],[Kolumna5]]*20700*0.27778</f>
        <v>23000.184</v>
      </c>
      <c r="J192" s="130"/>
      <c r="K192" s="130"/>
      <c r="L192" s="28" t="n">
        <f aca="false">Tabela43[[#This Row],[Kolumna8]]*0.000843882*40190*0.27778</f>
        <v>0</v>
      </c>
      <c r="M192" s="130"/>
      <c r="N192" s="146" t="n">
        <f aca="false">Tabela43[[#This Row],[Kolumna84]]/2.55</f>
        <v>0</v>
      </c>
      <c r="O192" s="28" t="n">
        <f aca="false">Tabela43[[#This Row],[Kolumna82]]*35.94*0.27778</f>
        <v>0</v>
      </c>
      <c r="P192" s="130"/>
      <c r="Q192" s="130"/>
      <c r="R192" s="130" t="n">
        <v>2</v>
      </c>
      <c r="S192" s="116" t="n">
        <f aca="false">Tabela43[[#This Row],[Kolumna92]]*0.65</f>
        <v>1.3</v>
      </c>
      <c r="T192" s="28" t="n">
        <f aca="false">Tabela43[[#This Row],[Kolumna10]]*15600*0.27778</f>
        <v>5633.3784</v>
      </c>
      <c r="U192" s="130"/>
      <c r="V192" s="130"/>
      <c r="W192" s="130"/>
      <c r="X192" s="130" t="n">
        <v>200</v>
      </c>
      <c r="Y192" s="130" t="n">
        <f aca="false">Tabela43[[#This Row],[Kolumna1223]]*12</f>
        <v>2400</v>
      </c>
      <c r="Z192" s="28" t="n">
        <f aca="false">Tabela43[[#This Row],[Kolumna123]]/0.55</f>
        <v>4363.63636363636</v>
      </c>
      <c r="AA192" s="130"/>
      <c r="AB192" s="130"/>
      <c r="AC192" s="125" t="n">
        <f aca="false">Tabela54[[#This Row],[Kolumna22]]*12</f>
        <v>0</v>
      </c>
      <c r="AD192" s="122" t="n">
        <f aca="false">Tabela54[[#This Row],[Kolumna3]]/4.44</f>
        <v>0</v>
      </c>
      <c r="AE192" s="120" t="n">
        <f aca="false">Tabela54[[#This Row],[Kolumna23]]*Tabela54[[#This Row],[Kolumna63]]</f>
        <v>0</v>
      </c>
      <c r="AF192" s="120"/>
      <c r="AG192" s="122" t="n">
        <f aca="false">Tabela54[[#This Row],[Kolumna12]]*12</f>
        <v>0</v>
      </c>
      <c r="AH192" s="122" t="n">
        <f aca="false">Tabela54[[#This Row],[Kolumna222]]/1.59</f>
        <v>0</v>
      </c>
      <c r="AI192" s="119" t="n">
        <f aca="false">Tabela54[[#This Row],[Kolumna223]]*Tabela54[[#This Row],[Kolumna63]]</f>
        <v>0</v>
      </c>
      <c r="AJ192" s="119" t="n">
        <v>400</v>
      </c>
      <c r="AK192" s="122" t="n">
        <f aca="false">Tabela54[[#This Row],[Kolumna34]]*12</f>
        <v>4800</v>
      </c>
      <c r="AL192" s="122" t="n">
        <f aca="false">Tabela54[[#This Row],[Kolumna32]]/4.2</f>
        <v>1142.85714285714</v>
      </c>
      <c r="AM192" s="119" t="n">
        <f aca="false">Tabela54[[#This Row],[Kolumna322]]*Tabela54[[#This Row],[Kolumna63]]</f>
        <v>571.428571428571</v>
      </c>
      <c r="AN192" s="122"/>
      <c r="AO192" s="122" t="n">
        <f aca="false">Tabela54[[#This Row],[Kolumna5]]*Tabela54[[#This Row],[Kolumna63]]</f>
        <v>0</v>
      </c>
      <c r="AP192" s="53" t="n">
        <v>0.5</v>
      </c>
      <c r="AQ192" s="29"/>
      <c r="AR192" s="29"/>
      <c r="AS192" s="29"/>
      <c r="AT192" s="29"/>
    </row>
    <row r="193" customFormat="false" ht="30.75" hidden="false" customHeight="true" outlineLevel="0" collapsed="false">
      <c r="A193" s="25" t="n">
        <v>186</v>
      </c>
      <c r="B193" s="27" t="s">
        <v>241</v>
      </c>
      <c r="C193" s="49" t="s">
        <v>259</v>
      </c>
      <c r="D193" s="134"/>
      <c r="E193" s="135" t="n">
        <v>80</v>
      </c>
      <c r="F19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441.17007</v>
      </c>
      <c r="G193" s="135"/>
      <c r="H193" s="130" t="n">
        <v>2</v>
      </c>
      <c r="I193" s="26" t="n">
        <f aca="false">Tabela43[[#This Row],[Kolumna5]]*20700*0.27778</f>
        <v>11500.092</v>
      </c>
      <c r="J193" s="130"/>
      <c r="K193" s="130"/>
      <c r="L193" s="28" t="n">
        <f aca="false">Tabela43[[#This Row],[Kolumna8]]*0.000843882*40190*0.27778</f>
        <v>0</v>
      </c>
      <c r="M193" s="130"/>
      <c r="N193" s="146" t="n">
        <f aca="false">Tabela43[[#This Row],[Kolumna84]]/2.55</f>
        <v>0</v>
      </c>
      <c r="O193" s="28" t="n">
        <f aca="false">Tabela43[[#This Row],[Kolumna82]]*35.94*0.27778</f>
        <v>0</v>
      </c>
      <c r="P193" s="130"/>
      <c r="Q193" s="130"/>
      <c r="R193" s="130" t="n">
        <v>8</v>
      </c>
      <c r="S193" s="116" t="n">
        <f aca="false">Tabela43[[#This Row],[Kolumna92]]*0.65</f>
        <v>5.2</v>
      </c>
      <c r="T193" s="28" t="n">
        <f aca="false">Tabela43[[#This Row],[Kolumna10]]*15600*0.27778</f>
        <v>22533.5136</v>
      </c>
      <c r="U193" s="130"/>
      <c r="V193" s="130"/>
      <c r="W193" s="130"/>
      <c r="X193" s="130" t="n">
        <v>105</v>
      </c>
      <c r="Y193" s="130" t="n">
        <f aca="false">Tabela43[[#This Row],[Kolumna1223]]*12</f>
        <v>1260</v>
      </c>
      <c r="Z193" s="28" t="n">
        <f aca="false">Tabela43[[#This Row],[Kolumna123]]/0.55</f>
        <v>2290.90909090909</v>
      </c>
      <c r="AA193" s="130"/>
      <c r="AB193" s="130"/>
      <c r="AC193" s="125" t="n">
        <f aca="false">Tabela54[[#This Row],[Kolumna22]]*12</f>
        <v>0</v>
      </c>
      <c r="AD193" s="122" t="n">
        <f aca="false">Tabela54[[#This Row],[Kolumna3]]/4.44</f>
        <v>0</v>
      </c>
      <c r="AE193" s="120" t="n">
        <f aca="false">Tabela54[[#This Row],[Kolumna23]]*Tabela54[[#This Row],[Kolumna63]]</f>
        <v>0</v>
      </c>
      <c r="AF193" s="120"/>
      <c r="AG193" s="122" t="n">
        <f aca="false">Tabela54[[#This Row],[Kolumna12]]*12</f>
        <v>0</v>
      </c>
      <c r="AH193" s="122" t="n">
        <f aca="false">Tabela54[[#This Row],[Kolumna222]]/1.59</f>
        <v>0</v>
      </c>
      <c r="AI193" s="119" t="n">
        <f aca="false">Tabela54[[#This Row],[Kolumna223]]*Tabela54[[#This Row],[Kolumna63]]</f>
        <v>0</v>
      </c>
      <c r="AJ193" s="119"/>
      <c r="AK193" s="122" t="n">
        <f aca="false">Tabela54[[#This Row],[Kolumna34]]*12</f>
        <v>0</v>
      </c>
      <c r="AL193" s="122" t="n">
        <f aca="false">Tabela54[[#This Row],[Kolumna32]]/4.2</f>
        <v>0</v>
      </c>
      <c r="AM193" s="119" t="n">
        <f aca="false">Tabela54[[#This Row],[Kolumna322]]*Tabela54[[#This Row],[Kolumna63]]</f>
        <v>0</v>
      </c>
      <c r="AN193" s="122"/>
      <c r="AO193" s="122" t="n">
        <f aca="false">Tabela54[[#This Row],[Kolumna5]]*Tabela54[[#This Row],[Kolumna63]]</f>
        <v>0</v>
      </c>
      <c r="AP193" s="53"/>
      <c r="AQ193" s="29"/>
      <c r="AR193" s="29"/>
      <c r="AS193" s="29"/>
      <c r="AT193" s="29"/>
    </row>
    <row r="194" customFormat="false" ht="27" hidden="false" customHeight="true" outlineLevel="0" collapsed="false">
      <c r="A194" s="25" t="n">
        <v>187</v>
      </c>
      <c r="B194" s="27" t="s">
        <v>241</v>
      </c>
      <c r="C194" s="49" t="s">
        <v>259</v>
      </c>
      <c r="D194" s="134"/>
      <c r="E194" s="135" t="n">
        <v>200</v>
      </c>
      <c r="F19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181.001352</v>
      </c>
      <c r="G194" s="135"/>
      <c r="H194" s="130"/>
      <c r="I194" s="26" t="n">
        <f aca="false">Tabela43[[#This Row],[Kolumna5]]*20700*0.27778</f>
        <v>0</v>
      </c>
      <c r="J194" s="130"/>
      <c r="K194" s="130"/>
      <c r="L194" s="28" t="n">
        <f aca="false">Tabela43[[#This Row],[Kolumna8]]*0.000843882*40190*0.27778</f>
        <v>0</v>
      </c>
      <c r="M194" s="130"/>
      <c r="N194" s="146" t="n">
        <f aca="false">Tabela43[[#This Row],[Kolumna84]]/2.55</f>
        <v>0</v>
      </c>
      <c r="O194" s="28" t="n">
        <f aca="false">Tabela43[[#This Row],[Kolumna82]]*35.94*0.27778</f>
        <v>0</v>
      </c>
      <c r="P194" s="130"/>
      <c r="Q194" s="130"/>
      <c r="R194" s="130" t="n">
        <v>12</v>
      </c>
      <c r="S194" s="116" t="n">
        <f aca="false">Tabela43[[#This Row],[Kolumna92]]*0.65</f>
        <v>7.8</v>
      </c>
      <c r="T194" s="28" t="n">
        <f aca="false">Tabela43[[#This Row],[Kolumna10]]*15600*0.27778</f>
        <v>33800.2704</v>
      </c>
      <c r="U194" s="130"/>
      <c r="V194" s="130"/>
      <c r="W194" s="130"/>
      <c r="X194" s="130" t="n">
        <v>200</v>
      </c>
      <c r="Y194" s="130" t="n">
        <f aca="false">Tabela43[[#This Row],[Kolumna1223]]*12</f>
        <v>2400</v>
      </c>
      <c r="Z194" s="28" t="n">
        <f aca="false">Tabela43[[#This Row],[Kolumna123]]/0.55</f>
        <v>4363.63636363636</v>
      </c>
      <c r="AA194" s="130"/>
      <c r="AB194" s="130"/>
      <c r="AC194" s="125" t="n">
        <f aca="false">Tabela54[[#This Row],[Kolumna22]]*12</f>
        <v>0</v>
      </c>
      <c r="AD194" s="122" t="n">
        <f aca="false">Tabela54[[#This Row],[Kolumna3]]/4.44</f>
        <v>0</v>
      </c>
      <c r="AE194" s="120" t="n">
        <f aca="false">Tabela54[[#This Row],[Kolumna23]]*Tabela54[[#This Row],[Kolumna63]]</f>
        <v>0</v>
      </c>
      <c r="AF194" s="120"/>
      <c r="AG194" s="122" t="n">
        <f aca="false">Tabela54[[#This Row],[Kolumna12]]*12</f>
        <v>0</v>
      </c>
      <c r="AH194" s="122" t="n">
        <f aca="false">Tabela54[[#This Row],[Kolumna222]]/1.59</f>
        <v>0</v>
      </c>
      <c r="AI194" s="119" t="n">
        <f aca="false">Tabela54[[#This Row],[Kolumna223]]*Tabela54[[#This Row],[Kolumna63]]</f>
        <v>0</v>
      </c>
      <c r="AJ194" s="119" t="n">
        <v>250</v>
      </c>
      <c r="AK194" s="122" t="n">
        <f aca="false">Tabela54[[#This Row],[Kolumna34]]*12</f>
        <v>3000</v>
      </c>
      <c r="AL194" s="122" t="n">
        <f aca="false">Tabela54[[#This Row],[Kolumna32]]/4.2</f>
        <v>714.285714285714</v>
      </c>
      <c r="AM194" s="119" t="n">
        <f aca="false">Tabela54[[#This Row],[Kolumna322]]*Tabela54[[#This Row],[Kolumna63]]</f>
        <v>35.7142857142857</v>
      </c>
      <c r="AN194" s="122"/>
      <c r="AO194" s="122" t="n">
        <f aca="false">Tabela54[[#This Row],[Kolumna5]]*Tabela54[[#This Row],[Kolumna63]]</f>
        <v>0</v>
      </c>
      <c r="AP194" s="53" t="n">
        <v>0.05</v>
      </c>
      <c r="AQ194" s="29"/>
      <c r="AR194" s="29"/>
      <c r="AS194" s="29"/>
      <c r="AT194" s="29"/>
    </row>
    <row r="195" customFormat="false" ht="26.25" hidden="false" customHeight="true" outlineLevel="0" collapsed="false">
      <c r="A195" s="40" t="n">
        <v>188</v>
      </c>
      <c r="B195" s="27" t="s">
        <v>241</v>
      </c>
      <c r="C195" s="49" t="s">
        <v>259</v>
      </c>
      <c r="D195" s="134"/>
      <c r="E195" s="135" t="n">
        <v>120</v>
      </c>
      <c r="F19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145.77892</v>
      </c>
      <c r="G195" s="135"/>
      <c r="H195" s="130" t="n">
        <v>2</v>
      </c>
      <c r="I195" s="26" t="n">
        <f aca="false">Tabela43[[#This Row],[Kolumna5]]*20700*0.27778</f>
        <v>11500.092</v>
      </c>
      <c r="J195" s="130"/>
      <c r="K195" s="130"/>
      <c r="L195" s="28" t="n">
        <f aca="false">Tabela43[[#This Row],[Kolumna8]]*0.000843882*40190*0.27778</f>
        <v>0</v>
      </c>
      <c r="M195" s="130"/>
      <c r="N195" s="146" t="n">
        <f aca="false">Tabela43[[#This Row],[Kolumna84]]/2.55</f>
        <v>0</v>
      </c>
      <c r="O195" s="28" t="n">
        <f aca="false">Tabela43[[#This Row],[Kolumna82]]*35.94*0.27778</f>
        <v>0</v>
      </c>
      <c r="P195" s="130"/>
      <c r="Q195" s="130"/>
      <c r="R195" s="130" t="n">
        <v>2</v>
      </c>
      <c r="S195" s="116" t="n">
        <f aca="false">Tabela43[[#This Row],[Kolumna92]]*0.65</f>
        <v>1.3</v>
      </c>
      <c r="T195" s="28" t="n">
        <f aca="false">Tabela43[[#This Row],[Kolumna10]]*15600*0.27778</f>
        <v>5633.3784</v>
      </c>
      <c r="U195" s="130"/>
      <c r="V195" s="130"/>
      <c r="W195" s="130"/>
      <c r="X195" s="130" t="n">
        <v>30</v>
      </c>
      <c r="Y195" s="130" t="n">
        <f aca="false">Tabela43[[#This Row],[Kolumna1223]]*12</f>
        <v>360</v>
      </c>
      <c r="Z195" s="28" t="n">
        <f aca="false">Tabela43[[#This Row],[Kolumna123]]/0.55</f>
        <v>654.545454545455</v>
      </c>
      <c r="AA195" s="130"/>
      <c r="AB195" s="130"/>
      <c r="AC195" s="125" t="n">
        <f aca="false">Tabela54[[#This Row],[Kolumna22]]*12</f>
        <v>0</v>
      </c>
      <c r="AD195" s="122" t="n">
        <f aca="false">Tabela54[[#This Row],[Kolumna3]]/4.44</f>
        <v>0</v>
      </c>
      <c r="AE195" s="120" t="n">
        <f aca="false">Tabela54[[#This Row],[Kolumna23]]*Tabela54[[#This Row],[Kolumna63]]</f>
        <v>0</v>
      </c>
      <c r="AF195" s="120"/>
      <c r="AG195" s="122" t="n">
        <f aca="false">Tabela54[[#This Row],[Kolumna12]]*12</f>
        <v>0</v>
      </c>
      <c r="AH195" s="122" t="n">
        <f aca="false">Tabela54[[#This Row],[Kolumna222]]/1.59</f>
        <v>0</v>
      </c>
      <c r="AI195" s="119" t="n">
        <f aca="false">Tabela54[[#This Row],[Kolumna223]]*Tabela54[[#This Row],[Kolumna63]]</f>
        <v>0</v>
      </c>
      <c r="AJ195" s="119"/>
      <c r="AK195" s="122" t="n">
        <f aca="false">Tabela54[[#This Row],[Kolumna34]]*12</f>
        <v>0</v>
      </c>
      <c r="AL195" s="122" t="n">
        <f aca="false">Tabela54[[#This Row],[Kolumna32]]/4.2</f>
        <v>0</v>
      </c>
      <c r="AM195" s="119" t="n">
        <f aca="false">Tabela54[[#This Row],[Kolumna322]]*Tabela54[[#This Row],[Kolumna63]]</f>
        <v>0</v>
      </c>
      <c r="AN195" s="122"/>
      <c r="AO195" s="122" t="n">
        <f aca="false">Tabela54[[#This Row],[Kolumna5]]*Tabela54[[#This Row],[Kolumna63]]</f>
        <v>0</v>
      </c>
      <c r="AP195" s="53"/>
      <c r="AQ195" s="29"/>
      <c r="AR195" s="29"/>
      <c r="AS195" s="29"/>
      <c r="AT195" s="29"/>
    </row>
    <row r="196" customFormat="false" ht="28.5" hidden="false" customHeight="true" outlineLevel="0" collapsed="false">
      <c r="A196" s="25" t="n">
        <v>189</v>
      </c>
      <c r="B196" s="27" t="s">
        <v>241</v>
      </c>
      <c r="C196" s="49" t="s">
        <v>259</v>
      </c>
      <c r="D196" s="134"/>
      <c r="E196" s="135" t="n">
        <v>200</v>
      </c>
      <c r="F19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156.967812</v>
      </c>
      <c r="G196" s="135"/>
      <c r="H196" s="130" t="n">
        <v>4</v>
      </c>
      <c r="I196" s="26" t="n">
        <f aca="false">Tabela43[[#This Row],[Kolumna5]]*20700*0.27778</f>
        <v>23000.184</v>
      </c>
      <c r="J196" s="130"/>
      <c r="K196" s="130"/>
      <c r="L196" s="28" t="n">
        <f aca="false">Tabela43[[#This Row],[Kolumna8]]*0.000843882*40190*0.27778</f>
        <v>0</v>
      </c>
      <c r="M196" s="130"/>
      <c r="N196" s="146" t="n">
        <f aca="false">Tabela43[[#This Row],[Kolumna84]]/2.55</f>
        <v>0</v>
      </c>
      <c r="O196" s="28" t="n">
        <f aca="false">Tabela43[[#This Row],[Kolumna82]]*35.94*0.27778</f>
        <v>0</v>
      </c>
      <c r="P196" s="130"/>
      <c r="Q196" s="130"/>
      <c r="R196" s="130" t="n">
        <v>2</v>
      </c>
      <c r="S196" s="116" t="n">
        <f aca="false">Tabela43[[#This Row],[Kolumna92]]*0.65</f>
        <v>1.3</v>
      </c>
      <c r="T196" s="28" t="n">
        <f aca="false">Tabela43[[#This Row],[Kolumna10]]*15600*0.27778</f>
        <v>5633.3784</v>
      </c>
      <c r="U196" s="130"/>
      <c r="V196" s="130"/>
      <c r="W196" s="130"/>
      <c r="X196" s="130" t="n">
        <v>230</v>
      </c>
      <c r="Y196" s="130" t="n">
        <f aca="false">Tabela43[[#This Row],[Kolumna1223]]*12</f>
        <v>2760</v>
      </c>
      <c r="Z196" s="28" t="n">
        <f aca="false">Tabela43[[#This Row],[Kolumna123]]/0.55</f>
        <v>5018.18181818182</v>
      </c>
      <c r="AA196" s="130"/>
      <c r="AB196" s="130" t="n">
        <v>300</v>
      </c>
      <c r="AC196" s="125" t="n">
        <f aca="false">Tabela54[[#This Row],[Kolumna22]]*12</f>
        <v>3600</v>
      </c>
      <c r="AD196" s="122" t="n">
        <f aca="false">Tabela54[[#This Row],[Kolumna3]]/4.44</f>
        <v>810.810810810811</v>
      </c>
      <c r="AE196" s="120" t="n">
        <f aca="false">Tabela54[[#This Row],[Kolumna23]]*Tabela54[[#This Row],[Kolumna63]]</f>
        <v>567.567567567567</v>
      </c>
      <c r="AF196" s="120"/>
      <c r="AG196" s="122" t="n">
        <f aca="false">Tabela54[[#This Row],[Kolumna12]]*12</f>
        <v>0</v>
      </c>
      <c r="AH196" s="122" t="n">
        <f aca="false">Tabela54[[#This Row],[Kolumna222]]/1.59</f>
        <v>0</v>
      </c>
      <c r="AI196" s="119" t="n">
        <f aca="false">Tabela54[[#This Row],[Kolumna223]]*Tabela54[[#This Row],[Kolumna63]]</f>
        <v>0</v>
      </c>
      <c r="AJ196" s="119"/>
      <c r="AK196" s="122" t="n">
        <f aca="false">Tabela54[[#This Row],[Kolumna34]]*12</f>
        <v>0</v>
      </c>
      <c r="AL196" s="122" t="n">
        <f aca="false">Tabela54[[#This Row],[Kolumna32]]/4.2</f>
        <v>0</v>
      </c>
      <c r="AM196" s="119" t="n">
        <f aca="false">Tabela54[[#This Row],[Kolumna322]]*Tabela54[[#This Row],[Kolumna63]]</f>
        <v>0</v>
      </c>
      <c r="AN196" s="122"/>
      <c r="AO196" s="122" t="n">
        <f aca="false">Tabela54[[#This Row],[Kolumna5]]*Tabela54[[#This Row],[Kolumna63]]</f>
        <v>0</v>
      </c>
      <c r="AP196" s="53" t="n">
        <v>0.7</v>
      </c>
      <c r="AQ196" s="29"/>
      <c r="AR196" s="29"/>
      <c r="AS196" s="29"/>
      <c r="AT196" s="29"/>
    </row>
    <row r="197" customFormat="false" ht="28.5" hidden="false" customHeight="true" outlineLevel="0" collapsed="false">
      <c r="A197" s="25" t="n">
        <v>190</v>
      </c>
      <c r="B197" s="27" t="s">
        <v>241</v>
      </c>
      <c r="C197" s="49" t="s">
        <v>259</v>
      </c>
      <c r="D197" s="134"/>
      <c r="E197" s="135" t="n">
        <v>100</v>
      </c>
      <c r="F19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240.835164</v>
      </c>
      <c r="G197" s="135"/>
      <c r="H197" s="130" t="n">
        <v>3</v>
      </c>
      <c r="I197" s="26" t="n">
        <f aca="false">Tabela43[[#This Row],[Kolumna5]]*20700*0.27778</f>
        <v>17250.138</v>
      </c>
      <c r="J197" s="130"/>
      <c r="K197" s="130"/>
      <c r="L197" s="28" t="n">
        <f aca="false">Tabela43[[#This Row],[Kolumna8]]*0.000843882*40190*0.27778</f>
        <v>0</v>
      </c>
      <c r="M197" s="130"/>
      <c r="N197" s="146" t="n">
        <f aca="false">Tabela43[[#This Row],[Kolumna84]]/2.55</f>
        <v>0</v>
      </c>
      <c r="O197" s="28" t="n">
        <f aca="false">Tabela43[[#This Row],[Kolumna82]]*35.94*0.27778</f>
        <v>0</v>
      </c>
      <c r="P197" s="130" t="n">
        <v>6</v>
      </c>
      <c r="Q197" s="130"/>
      <c r="R197" s="130" t="n">
        <v>2</v>
      </c>
      <c r="S197" s="116" t="n">
        <f aca="false">Tabela43[[#This Row],[Kolumna92]]*0.65</f>
        <v>1.3</v>
      </c>
      <c r="T197" s="28" t="n">
        <f aca="false">Tabela43[[#This Row],[Kolumna10]]*15600*0.27778</f>
        <v>5633.3784</v>
      </c>
      <c r="U197" s="130"/>
      <c r="V197" s="130"/>
      <c r="W197" s="130"/>
      <c r="X197" s="130" t="n">
        <v>100</v>
      </c>
      <c r="Y197" s="130" t="n">
        <f aca="false">Tabela43[[#This Row],[Kolumna1223]]*12</f>
        <v>1200</v>
      </c>
      <c r="Z197" s="28" t="n">
        <f aca="false">Tabela43[[#This Row],[Kolumna123]]/0.55</f>
        <v>2181.81818181818</v>
      </c>
      <c r="AA197" s="130"/>
      <c r="AB197" s="130" t="n">
        <v>300</v>
      </c>
      <c r="AC197" s="125" t="n">
        <f aca="false">Tabela54[[#This Row],[Kolumna22]]*12</f>
        <v>3600</v>
      </c>
      <c r="AD197" s="122" t="n">
        <f aca="false">Tabela54[[#This Row],[Kolumna3]]/4.44</f>
        <v>810.810810810811</v>
      </c>
      <c r="AE197" s="120" t="n">
        <f aca="false">Tabela54[[#This Row],[Kolumna23]]*Tabela54[[#This Row],[Kolumna63]]</f>
        <v>567.567567567567</v>
      </c>
      <c r="AF197" s="120"/>
      <c r="AG197" s="122" t="n">
        <f aca="false">Tabela54[[#This Row],[Kolumna12]]*12</f>
        <v>0</v>
      </c>
      <c r="AH197" s="122" t="n">
        <f aca="false">Tabela54[[#This Row],[Kolumna222]]/1.59</f>
        <v>0</v>
      </c>
      <c r="AI197" s="119" t="n">
        <f aca="false">Tabela54[[#This Row],[Kolumna223]]*Tabela54[[#This Row],[Kolumna63]]</f>
        <v>0</v>
      </c>
      <c r="AJ197" s="119"/>
      <c r="AK197" s="122" t="n">
        <f aca="false">Tabela54[[#This Row],[Kolumna34]]*12</f>
        <v>0</v>
      </c>
      <c r="AL197" s="122" t="n">
        <f aca="false">Tabela54[[#This Row],[Kolumna32]]/4.2</f>
        <v>0</v>
      </c>
      <c r="AM197" s="119" t="n">
        <f aca="false">Tabela54[[#This Row],[Kolumna322]]*Tabela54[[#This Row],[Kolumna63]]</f>
        <v>0</v>
      </c>
      <c r="AN197" s="122"/>
      <c r="AO197" s="122" t="n">
        <f aca="false">Tabela54[[#This Row],[Kolumna5]]*Tabela54[[#This Row],[Kolumna63]]</f>
        <v>0</v>
      </c>
      <c r="AP197" s="53" t="n">
        <v>0.7</v>
      </c>
      <c r="AQ197" s="29"/>
      <c r="AR197" s="29"/>
      <c r="AS197" s="29"/>
      <c r="AT197" s="29"/>
    </row>
    <row r="198" customFormat="false" ht="28.5" hidden="false" customHeight="true" outlineLevel="0" collapsed="false">
      <c r="A198" s="40" t="n">
        <v>191</v>
      </c>
      <c r="B198" s="27" t="s">
        <v>241</v>
      </c>
      <c r="C198" s="49" t="s">
        <v>259</v>
      </c>
      <c r="D198" s="134"/>
      <c r="E198" s="135" t="n">
        <v>60</v>
      </c>
      <c r="F19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411.39194</v>
      </c>
      <c r="G198" s="135"/>
      <c r="H198" s="130" t="n">
        <v>3</v>
      </c>
      <c r="I198" s="26" t="n">
        <f aca="false">Tabela43[[#This Row],[Kolumna5]]*20700*0.27778</f>
        <v>17250.138</v>
      </c>
      <c r="J198" s="130"/>
      <c r="K198" s="130"/>
      <c r="L198" s="28" t="n">
        <f aca="false">Tabela43[[#This Row],[Kolumna8]]*0.000843882*40190*0.27778</f>
        <v>0</v>
      </c>
      <c r="M198" s="130"/>
      <c r="N198" s="146" t="n">
        <f aca="false">Tabela43[[#This Row],[Kolumna84]]/2.55</f>
        <v>0</v>
      </c>
      <c r="O198" s="28" t="n">
        <f aca="false">Tabela43[[#This Row],[Kolumna82]]*35.94*0.27778</f>
        <v>0</v>
      </c>
      <c r="P198" s="130"/>
      <c r="Q198" s="130"/>
      <c r="R198" s="130" t="n">
        <v>2</v>
      </c>
      <c r="S198" s="116" t="n">
        <f aca="false">Tabela43[[#This Row],[Kolumna92]]*0.65</f>
        <v>1.3</v>
      </c>
      <c r="T198" s="28" t="n">
        <f aca="false">Tabela43[[#This Row],[Kolumna10]]*15600*0.27778</f>
        <v>5633.3784</v>
      </c>
      <c r="U198" s="130"/>
      <c r="V198" s="130"/>
      <c r="W198" s="130"/>
      <c r="X198" s="130" t="n">
        <v>150</v>
      </c>
      <c r="Y198" s="130" t="n">
        <f aca="false">Tabela43[[#This Row],[Kolumna1223]]*12</f>
        <v>1800</v>
      </c>
      <c r="Z198" s="28" t="n">
        <f aca="false">Tabela43[[#This Row],[Kolumna123]]/0.55</f>
        <v>3272.72727272727</v>
      </c>
      <c r="AA198" s="130"/>
      <c r="AB198" s="130" t="n">
        <v>300</v>
      </c>
      <c r="AC198" s="125" t="n">
        <f aca="false">Tabela54[[#This Row],[Kolumna22]]*12</f>
        <v>3600</v>
      </c>
      <c r="AD198" s="122" t="n">
        <f aca="false">Tabela54[[#This Row],[Kolumna3]]/4.44</f>
        <v>810.810810810811</v>
      </c>
      <c r="AE198" s="120" t="n">
        <f aca="false">Tabela54[[#This Row],[Kolumna23]]*Tabela54[[#This Row],[Kolumna63]]</f>
        <v>486.486486486486</v>
      </c>
      <c r="AF198" s="120"/>
      <c r="AG198" s="122" t="n">
        <f aca="false">Tabela54[[#This Row],[Kolumna12]]*12</f>
        <v>0</v>
      </c>
      <c r="AH198" s="122" t="n">
        <f aca="false">Tabela54[[#This Row],[Kolumna222]]/1.59</f>
        <v>0</v>
      </c>
      <c r="AI198" s="119" t="n">
        <f aca="false">Tabela54[[#This Row],[Kolumna223]]*Tabela54[[#This Row],[Kolumna63]]</f>
        <v>0</v>
      </c>
      <c r="AJ198" s="119"/>
      <c r="AK198" s="122" t="n">
        <f aca="false">Tabela54[[#This Row],[Kolumna34]]*12</f>
        <v>0</v>
      </c>
      <c r="AL198" s="122" t="n">
        <f aca="false">Tabela54[[#This Row],[Kolumna32]]/4.2</f>
        <v>0</v>
      </c>
      <c r="AM198" s="119" t="n">
        <f aca="false">Tabela54[[#This Row],[Kolumna322]]*Tabela54[[#This Row],[Kolumna63]]</f>
        <v>0</v>
      </c>
      <c r="AN198" s="122"/>
      <c r="AO198" s="122" t="n">
        <f aca="false">Tabela54[[#This Row],[Kolumna5]]*Tabela54[[#This Row],[Kolumna63]]</f>
        <v>0</v>
      </c>
      <c r="AP198" s="53" t="n">
        <v>0.6</v>
      </c>
      <c r="AQ198" s="29"/>
      <c r="AR198" s="29"/>
      <c r="AS198" s="29"/>
      <c r="AT198" s="29"/>
    </row>
    <row r="199" customFormat="false" ht="30" hidden="false" customHeight="true" outlineLevel="0" collapsed="false">
      <c r="A199" s="25" t="n">
        <v>192</v>
      </c>
      <c r="B199" s="27" t="s">
        <v>241</v>
      </c>
      <c r="C199" s="49" t="s">
        <v>259</v>
      </c>
      <c r="D199" s="134"/>
      <c r="E199" s="135" t="n">
        <v>100</v>
      </c>
      <c r="F19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414.66984</v>
      </c>
      <c r="G199" s="135"/>
      <c r="H199" s="130" t="n">
        <v>2</v>
      </c>
      <c r="I199" s="26" t="n">
        <f aca="false">Tabela43[[#This Row],[Kolumna5]]*20700*0.27778</f>
        <v>11500.092</v>
      </c>
      <c r="J199" s="130"/>
      <c r="K199" s="130"/>
      <c r="L199" s="28" t="n">
        <f aca="false">Tabela43[[#This Row],[Kolumna8]]*0.000843882*40190*0.27778</f>
        <v>0</v>
      </c>
      <c r="M199" s="130"/>
      <c r="N199" s="146" t="n">
        <f aca="false">Tabela43[[#This Row],[Kolumna84]]/2.55</f>
        <v>0</v>
      </c>
      <c r="O199" s="28" t="n">
        <f aca="false">Tabela43[[#This Row],[Kolumna82]]*35.94*0.27778</f>
        <v>0</v>
      </c>
      <c r="P199" s="130"/>
      <c r="Q199" s="130"/>
      <c r="R199" s="130" t="n">
        <v>10</v>
      </c>
      <c r="S199" s="116" t="n">
        <f aca="false">Tabela43[[#This Row],[Kolumna92]]*0.65</f>
        <v>6.5</v>
      </c>
      <c r="T199" s="28" t="n">
        <f aca="false">Tabela43[[#This Row],[Kolumna10]]*15600*0.27778</f>
        <v>28166.892</v>
      </c>
      <c r="U199" s="130"/>
      <c r="V199" s="130"/>
      <c r="W199" s="130"/>
      <c r="X199" s="130" t="n">
        <v>150</v>
      </c>
      <c r="Y199" s="130" t="n">
        <f aca="false">Tabela43[[#This Row],[Kolumna1223]]*12</f>
        <v>1800</v>
      </c>
      <c r="Z199" s="28" t="n">
        <f aca="false">Tabela43[[#This Row],[Kolumna123]]/0.55</f>
        <v>3272.72727272727</v>
      </c>
      <c r="AA199" s="130"/>
      <c r="AB199" s="130" t="n">
        <v>100</v>
      </c>
      <c r="AC199" s="125" t="n">
        <f aca="false">Tabela54[[#This Row],[Kolumna22]]*12</f>
        <v>1200</v>
      </c>
      <c r="AD199" s="122" t="n">
        <f aca="false">Tabela54[[#This Row],[Kolumna3]]/4.44</f>
        <v>270.27027027027</v>
      </c>
      <c r="AE199" s="120" t="n">
        <f aca="false">Tabela54[[#This Row],[Kolumna23]]*Tabela54[[#This Row],[Kolumna63]]</f>
        <v>81.0810810810811</v>
      </c>
      <c r="AF199" s="120"/>
      <c r="AG199" s="122" t="n">
        <f aca="false">Tabela54[[#This Row],[Kolumna12]]*12</f>
        <v>0</v>
      </c>
      <c r="AH199" s="122" t="n">
        <f aca="false">Tabela54[[#This Row],[Kolumna222]]/1.59</f>
        <v>0</v>
      </c>
      <c r="AI199" s="119" t="n">
        <f aca="false">Tabela54[[#This Row],[Kolumna223]]*Tabela54[[#This Row],[Kolumna63]]</f>
        <v>0</v>
      </c>
      <c r="AJ199" s="119" t="n">
        <v>100</v>
      </c>
      <c r="AK199" s="122" t="n">
        <f aca="false">Tabela54[[#This Row],[Kolumna34]]*12</f>
        <v>1200</v>
      </c>
      <c r="AL199" s="122" t="n">
        <f aca="false">Tabela54[[#This Row],[Kolumna32]]/4.2</f>
        <v>285.714285714286</v>
      </c>
      <c r="AM199" s="119" t="n">
        <f aca="false">Tabela54[[#This Row],[Kolumna322]]*Tabela54[[#This Row],[Kolumna63]]</f>
        <v>85.7142857142857</v>
      </c>
      <c r="AN199" s="122"/>
      <c r="AO199" s="122" t="n">
        <f aca="false">Tabela54[[#This Row],[Kolumna5]]*Tabela54[[#This Row],[Kolumna63]]</f>
        <v>0</v>
      </c>
      <c r="AP199" s="53" t="n">
        <v>0.3</v>
      </c>
      <c r="AQ199" s="29"/>
      <c r="AR199" s="29"/>
      <c r="AS199" s="29"/>
      <c r="AT199" s="29"/>
    </row>
    <row r="200" customFormat="false" ht="33.75" hidden="false" customHeight="true" outlineLevel="0" collapsed="false">
      <c r="A200" s="25" t="n">
        <v>193</v>
      </c>
      <c r="B200" s="27" t="s">
        <v>241</v>
      </c>
      <c r="C200" s="49" t="s">
        <v>259</v>
      </c>
      <c r="D200" s="134"/>
      <c r="E200" s="135" t="n">
        <v>100</v>
      </c>
      <c r="F20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188.134704</v>
      </c>
      <c r="G200" s="135"/>
      <c r="H200" s="130" t="n">
        <v>2</v>
      </c>
      <c r="I200" s="26" t="n">
        <f aca="false">Tabela43[[#This Row],[Kolumna5]]*20700*0.27778</f>
        <v>11500.092</v>
      </c>
      <c r="J200" s="130"/>
      <c r="K200" s="130"/>
      <c r="L200" s="28" t="n">
        <f aca="false">Tabela43[[#This Row],[Kolumna8]]*0.000843882*40190*0.27778</f>
        <v>0</v>
      </c>
      <c r="M200" s="130"/>
      <c r="N200" s="146" t="n">
        <f aca="false">Tabela43[[#This Row],[Kolumna84]]/2.55</f>
        <v>0</v>
      </c>
      <c r="O200" s="28" t="n">
        <f aca="false">Tabela43[[#This Row],[Kolumna82]]*35.94*0.27778</f>
        <v>0</v>
      </c>
      <c r="P200" s="130"/>
      <c r="Q200" s="130"/>
      <c r="R200" s="130" t="n">
        <v>2</v>
      </c>
      <c r="S200" s="116" t="n">
        <f aca="false">Tabela43[[#This Row],[Kolumna92]]*0.65</f>
        <v>1.3</v>
      </c>
      <c r="T200" s="28" t="n">
        <f aca="false">Tabela43[[#This Row],[Kolumna10]]*15600*0.27778</f>
        <v>5633.3784</v>
      </c>
      <c r="U200" s="130"/>
      <c r="V200" s="130"/>
      <c r="W200" s="130"/>
      <c r="X200" s="130" t="n">
        <v>140</v>
      </c>
      <c r="Y200" s="130" t="n">
        <f aca="false">Tabela43[[#This Row],[Kolumna1223]]*12</f>
        <v>1680</v>
      </c>
      <c r="Z200" s="28" t="n">
        <f aca="false">Tabela43[[#This Row],[Kolumna123]]/0.55</f>
        <v>3054.54545454545</v>
      </c>
      <c r="AA200" s="130"/>
      <c r="AB200" s="130" t="n">
        <v>100</v>
      </c>
      <c r="AC200" s="125" t="n">
        <f aca="false">Tabela54[[#This Row],[Kolumna22]]*12</f>
        <v>1200</v>
      </c>
      <c r="AD200" s="122" t="n">
        <f aca="false">Tabela54[[#This Row],[Kolumna3]]/4.44</f>
        <v>270.27027027027</v>
      </c>
      <c r="AE200" s="120" t="n">
        <f aca="false">Tabela54[[#This Row],[Kolumna23]]*Tabela54[[#This Row],[Kolumna63]]</f>
        <v>54.0540540540541</v>
      </c>
      <c r="AF200" s="120"/>
      <c r="AG200" s="122" t="n">
        <f aca="false">Tabela54[[#This Row],[Kolumna12]]*12</f>
        <v>0</v>
      </c>
      <c r="AH200" s="122" t="n">
        <f aca="false">Tabela54[[#This Row],[Kolumna222]]/1.59</f>
        <v>0</v>
      </c>
      <c r="AI200" s="119" t="n">
        <f aca="false">Tabela54[[#This Row],[Kolumna223]]*Tabela54[[#This Row],[Kolumna63]]</f>
        <v>0</v>
      </c>
      <c r="AJ200" s="119"/>
      <c r="AK200" s="122" t="n">
        <f aca="false">Tabela54[[#This Row],[Kolumna34]]*12</f>
        <v>0</v>
      </c>
      <c r="AL200" s="122" t="n">
        <f aca="false">Tabela54[[#This Row],[Kolumna32]]/4.2</f>
        <v>0</v>
      </c>
      <c r="AM200" s="119" t="n">
        <f aca="false">Tabela54[[#This Row],[Kolumna322]]*Tabela54[[#This Row],[Kolumna63]]</f>
        <v>0</v>
      </c>
      <c r="AN200" s="122"/>
      <c r="AO200" s="122" t="n">
        <f aca="false">Tabela54[[#This Row],[Kolumna5]]*Tabela54[[#This Row],[Kolumna63]]</f>
        <v>0</v>
      </c>
      <c r="AP200" s="53" t="n">
        <v>0.2</v>
      </c>
      <c r="AQ200" s="29"/>
      <c r="AR200" s="29"/>
      <c r="AS200" s="29"/>
      <c r="AT200" s="29"/>
    </row>
    <row r="201" customFormat="false" ht="36" hidden="false" customHeight="true" outlineLevel="0" collapsed="false">
      <c r="A201" s="40" t="n">
        <v>194</v>
      </c>
      <c r="B201" s="27" t="s">
        <v>241</v>
      </c>
      <c r="C201" s="49" t="s">
        <v>259</v>
      </c>
      <c r="D201" s="134"/>
      <c r="E201" s="135" t="n">
        <v>100</v>
      </c>
      <c r="F20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248.035164</v>
      </c>
      <c r="G201" s="135"/>
      <c r="H201" s="130" t="n">
        <v>3</v>
      </c>
      <c r="I201" s="26" t="n">
        <f aca="false">Tabela43[[#This Row],[Kolumna5]]*20700*0.27778</f>
        <v>17250.138</v>
      </c>
      <c r="J201" s="130"/>
      <c r="K201" s="130"/>
      <c r="L201" s="28" t="n">
        <f aca="false">Tabela43[[#This Row],[Kolumna8]]*0.000843882*40190*0.27778</f>
        <v>0</v>
      </c>
      <c r="M201" s="130"/>
      <c r="N201" s="146" t="n">
        <f aca="false">Tabela43[[#This Row],[Kolumna84]]/2.55</f>
        <v>0</v>
      </c>
      <c r="O201" s="28" t="n">
        <f aca="false">Tabela43[[#This Row],[Kolumna82]]*35.94*0.27778</f>
        <v>0</v>
      </c>
      <c r="P201" s="130"/>
      <c r="Q201" s="130"/>
      <c r="R201" s="130" t="n">
        <v>2</v>
      </c>
      <c r="S201" s="116" t="n">
        <f aca="false">Tabela43[[#This Row],[Kolumna92]]*0.65</f>
        <v>1.3</v>
      </c>
      <c r="T201" s="28" t="n">
        <f aca="false">Tabela43[[#This Row],[Kolumna10]]*15600*0.27778</f>
        <v>5633.3784</v>
      </c>
      <c r="U201" s="130"/>
      <c r="V201" s="130"/>
      <c r="W201" s="130"/>
      <c r="X201" s="130" t="n">
        <v>160</v>
      </c>
      <c r="Y201" s="130" t="n">
        <f aca="false">Tabela43[[#This Row],[Kolumna1223]]*12</f>
        <v>1920</v>
      </c>
      <c r="Z201" s="28" t="n">
        <f aca="false">Tabela43[[#This Row],[Kolumna123]]/0.55</f>
        <v>3490.90909090909</v>
      </c>
      <c r="AA201" s="130"/>
      <c r="AB201" s="130"/>
      <c r="AC201" s="125" t="n">
        <f aca="false">Tabela54[[#This Row],[Kolumna22]]*12</f>
        <v>0</v>
      </c>
      <c r="AD201" s="122" t="n">
        <f aca="false">Tabela54[[#This Row],[Kolumna3]]/4.44</f>
        <v>0</v>
      </c>
      <c r="AE201" s="120" t="n">
        <f aca="false">Tabela54[[#This Row],[Kolumna23]]*Tabela54[[#This Row],[Kolumna63]]</f>
        <v>0</v>
      </c>
      <c r="AF201" s="120"/>
      <c r="AG201" s="122" t="n">
        <f aca="false">Tabela54[[#This Row],[Kolumna12]]*12</f>
        <v>0</v>
      </c>
      <c r="AH201" s="122" t="n">
        <f aca="false">Tabela54[[#This Row],[Kolumna222]]/1.59</f>
        <v>0</v>
      </c>
      <c r="AI201" s="119" t="n">
        <f aca="false">Tabela54[[#This Row],[Kolumna223]]*Tabela54[[#This Row],[Kolumna63]]</f>
        <v>0</v>
      </c>
      <c r="AJ201" s="119"/>
      <c r="AK201" s="122" t="n">
        <f aca="false">Tabela54[[#This Row],[Kolumna34]]*12</f>
        <v>0</v>
      </c>
      <c r="AL201" s="122" t="n">
        <f aca="false">Tabela54[[#This Row],[Kolumna32]]/4.2</f>
        <v>0</v>
      </c>
      <c r="AM201" s="119" t="n">
        <f aca="false">Tabela54[[#This Row],[Kolumna322]]*Tabela54[[#This Row],[Kolumna63]]</f>
        <v>0</v>
      </c>
      <c r="AN201" s="122"/>
      <c r="AO201" s="122" t="n">
        <f aca="false">Tabela54[[#This Row],[Kolumna5]]*Tabela54[[#This Row],[Kolumna63]]</f>
        <v>0</v>
      </c>
      <c r="AP201" s="53"/>
      <c r="AQ201" s="29"/>
      <c r="AR201" s="29"/>
      <c r="AS201" s="29"/>
      <c r="AT201" s="29"/>
    </row>
    <row r="202" customFormat="false" ht="33" hidden="false" customHeight="true" outlineLevel="0" collapsed="false">
      <c r="A202" s="25" t="n">
        <v>195</v>
      </c>
      <c r="B202" s="27" t="s">
        <v>241</v>
      </c>
      <c r="C202" s="49" t="s">
        <v>259</v>
      </c>
      <c r="D202" s="134"/>
      <c r="E202" s="135" t="n">
        <v>110</v>
      </c>
      <c r="F20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326.881254545455</v>
      </c>
      <c r="G202" s="135"/>
      <c r="H202" s="130" t="n">
        <v>1</v>
      </c>
      <c r="I202" s="26" t="n">
        <f aca="false">Tabela43[[#This Row],[Kolumna5]]*20700*0.27778</f>
        <v>5750.046</v>
      </c>
      <c r="J202" s="130"/>
      <c r="K202" s="130"/>
      <c r="L202" s="28" t="n">
        <f aca="false">Tabela43[[#This Row],[Kolumna8]]*0.000843882*40190*0.27778</f>
        <v>0</v>
      </c>
      <c r="M202" s="130"/>
      <c r="N202" s="146" t="n">
        <f aca="false">Tabela43[[#This Row],[Kolumna84]]/2.55</f>
        <v>0</v>
      </c>
      <c r="O202" s="28" t="n">
        <f aca="false">Tabela43[[#This Row],[Kolumna82]]*35.94*0.27778</f>
        <v>0</v>
      </c>
      <c r="P202" s="130"/>
      <c r="Q202" s="130"/>
      <c r="R202" s="130" t="n">
        <v>10</v>
      </c>
      <c r="S202" s="116" t="n">
        <f aca="false">Tabela43[[#This Row],[Kolumna92]]*0.65</f>
        <v>6.5</v>
      </c>
      <c r="T202" s="28" t="n">
        <f aca="false">Tabela43[[#This Row],[Kolumna10]]*15600*0.27778</f>
        <v>28166.892</v>
      </c>
      <c r="U202" s="130"/>
      <c r="V202" s="130"/>
      <c r="W202" s="130"/>
      <c r="X202" s="130" t="n">
        <v>170</v>
      </c>
      <c r="Y202" s="130" t="n">
        <f aca="false">Tabela43[[#This Row],[Kolumna1223]]*12</f>
        <v>2040</v>
      </c>
      <c r="Z202" s="28" t="n">
        <f aca="false">Tabela43[[#This Row],[Kolumna123]]/0.55</f>
        <v>3709.09090909091</v>
      </c>
      <c r="AA202" s="130"/>
      <c r="AB202" s="130"/>
      <c r="AC202" s="125" t="n">
        <f aca="false">Tabela54[[#This Row],[Kolumna22]]*12</f>
        <v>0</v>
      </c>
      <c r="AD202" s="122" t="n">
        <f aca="false">Tabela54[[#This Row],[Kolumna3]]/4.44</f>
        <v>0</v>
      </c>
      <c r="AE202" s="120" t="n">
        <f aca="false">Tabela54[[#This Row],[Kolumna23]]*Tabela54[[#This Row],[Kolumna63]]</f>
        <v>0</v>
      </c>
      <c r="AF202" s="120"/>
      <c r="AG202" s="122" t="n">
        <f aca="false">Tabela54[[#This Row],[Kolumna12]]*12</f>
        <v>0</v>
      </c>
      <c r="AH202" s="122" t="n">
        <f aca="false">Tabela54[[#This Row],[Kolumna222]]/1.59</f>
        <v>0</v>
      </c>
      <c r="AI202" s="119" t="n">
        <f aca="false">Tabela54[[#This Row],[Kolumna223]]*Tabela54[[#This Row],[Kolumna63]]</f>
        <v>0</v>
      </c>
      <c r="AJ202" s="119" t="n">
        <v>180</v>
      </c>
      <c r="AK202" s="122" t="n">
        <f aca="false">Tabela54[[#This Row],[Kolumna34]]*12</f>
        <v>2160</v>
      </c>
      <c r="AL202" s="122" t="n">
        <f aca="false">Tabela54[[#This Row],[Kolumna32]]/4.2</f>
        <v>514.285714285714</v>
      </c>
      <c r="AM202" s="119" t="n">
        <f aca="false">Tabela54[[#This Row],[Kolumna322]]*Tabela54[[#This Row],[Kolumna63]]</f>
        <v>25.7142857142857</v>
      </c>
      <c r="AN202" s="122"/>
      <c r="AO202" s="122" t="n">
        <f aca="false">Tabela54[[#This Row],[Kolumna5]]*Tabela54[[#This Row],[Kolumna63]]</f>
        <v>0</v>
      </c>
      <c r="AP202" s="53" t="n">
        <v>0.05</v>
      </c>
      <c r="AQ202" s="29"/>
      <c r="AR202" s="29"/>
      <c r="AS202" s="29"/>
      <c r="AT202" s="29"/>
    </row>
    <row r="203" customFormat="false" ht="32.25" hidden="false" customHeight="true" outlineLevel="0" collapsed="false">
      <c r="A203" s="25" t="n">
        <v>196</v>
      </c>
      <c r="B203" s="27" t="s">
        <v>241</v>
      </c>
      <c r="C203" s="49" t="s">
        <v>249</v>
      </c>
      <c r="D203" s="134"/>
      <c r="E203" s="135" t="n">
        <v>160</v>
      </c>
      <c r="F20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191.17788</v>
      </c>
      <c r="G203" s="135"/>
      <c r="H203" s="130"/>
      <c r="I203" s="26" t="n">
        <f aca="false">Tabela43[[#This Row],[Kolumna5]]*20700*0.27778</f>
        <v>0</v>
      </c>
      <c r="J203" s="130"/>
      <c r="K203" s="130"/>
      <c r="L203" s="28" t="n">
        <f aca="false">Tabela43[[#This Row],[Kolumna8]]*0.000843882*40190*0.27778</f>
        <v>0</v>
      </c>
      <c r="M203" s="130" t="n">
        <f aca="false">600*12</f>
        <v>7200</v>
      </c>
      <c r="N203" s="146" t="n">
        <f aca="false">Tabela43[[#This Row],[Kolumna84]]/2.55</f>
        <v>2823.52941176471</v>
      </c>
      <c r="O203" s="28" t="n">
        <f aca="false">Tabela43[[#This Row],[Kolumna82]]*35.94*0.27778</f>
        <v>28188.4608</v>
      </c>
      <c r="P203" s="130"/>
      <c r="Q203" s="130"/>
      <c r="R203" s="130"/>
      <c r="S203" s="116" t="n">
        <f aca="false">Tabela43[[#This Row],[Kolumna92]]*0.65</f>
        <v>0</v>
      </c>
      <c r="T203" s="28" t="n">
        <f aca="false">Tabela43[[#This Row],[Kolumna10]]*15600*0.27778</f>
        <v>0</v>
      </c>
      <c r="U203" s="130"/>
      <c r="V203" s="130"/>
      <c r="W203" s="130"/>
      <c r="X203" s="130" t="n">
        <v>200</v>
      </c>
      <c r="Y203" s="130" t="n">
        <f aca="false">Tabela43[[#This Row],[Kolumna1223]]*12</f>
        <v>2400</v>
      </c>
      <c r="Z203" s="28" t="n">
        <f aca="false">Tabela43[[#This Row],[Kolumna123]]/0.55</f>
        <v>4363.63636363636</v>
      </c>
      <c r="AA203" s="130"/>
      <c r="AB203" s="130" t="n">
        <v>300</v>
      </c>
      <c r="AC203" s="125" t="n">
        <f aca="false">Tabela54[[#This Row],[Kolumna22]]*12</f>
        <v>3600</v>
      </c>
      <c r="AD203" s="122" t="n">
        <f aca="false">Tabela54[[#This Row],[Kolumna3]]/4.44</f>
        <v>810.810810810811</v>
      </c>
      <c r="AE203" s="120" t="n">
        <f aca="false">Tabela54[[#This Row],[Kolumna23]]*Tabela54[[#This Row],[Kolumna63]]</f>
        <v>324.324324324324</v>
      </c>
      <c r="AF203" s="120"/>
      <c r="AG203" s="122" t="n">
        <f aca="false">Tabela54[[#This Row],[Kolumna12]]*12</f>
        <v>0</v>
      </c>
      <c r="AH203" s="122" t="n">
        <f aca="false">Tabela54[[#This Row],[Kolumna222]]/1.59</f>
        <v>0</v>
      </c>
      <c r="AI203" s="119" t="n">
        <f aca="false">Tabela54[[#This Row],[Kolumna223]]*Tabela54[[#This Row],[Kolumna63]]</f>
        <v>0</v>
      </c>
      <c r="AJ203" s="119"/>
      <c r="AK203" s="122" t="n">
        <f aca="false">Tabela54[[#This Row],[Kolumna34]]*12</f>
        <v>0</v>
      </c>
      <c r="AL203" s="122" t="n">
        <f aca="false">Tabela54[[#This Row],[Kolumna32]]/4.2</f>
        <v>0</v>
      </c>
      <c r="AM203" s="119" t="n">
        <f aca="false">Tabela54[[#This Row],[Kolumna322]]*Tabela54[[#This Row],[Kolumna63]]</f>
        <v>0</v>
      </c>
      <c r="AN203" s="122"/>
      <c r="AO203" s="122" t="n">
        <f aca="false">Tabela54[[#This Row],[Kolumna5]]*Tabela54[[#This Row],[Kolumna63]]</f>
        <v>0</v>
      </c>
      <c r="AP203" s="53" t="n">
        <v>0.4</v>
      </c>
      <c r="AQ203" s="29"/>
      <c r="AR203" s="29"/>
      <c r="AS203" s="29"/>
      <c r="AT203" s="29"/>
    </row>
    <row r="204" customFormat="false" ht="33.75" hidden="false" customHeight="true" outlineLevel="0" collapsed="false">
      <c r="A204" s="40" t="n">
        <v>197</v>
      </c>
      <c r="B204" s="27" t="s">
        <v>241</v>
      </c>
      <c r="C204" s="49" t="s">
        <v>249</v>
      </c>
      <c r="D204" s="134"/>
      <c r="E204" s="135" t="n">
        <v>120</v>
      </c>
      <c r="F20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204" s="135"/>
      <c r="H204" s="130" t="n">
        <v>2</v>
      </c>
      <c r="I204" s="26" t="n">
        <f aca="false">Tabela43[[#This Row],[Kolumna5]]*20700*0.27778</f>
        <v>11500.092</v>
      </c>
      <c r="J204" s="130"/>
      <c r="K204" s="130"/>
      <c r="L204" s="28" t="n">
        <f aca="false">Tabela43[[#This Row],[Kolumna8]]*0.000843882*40190*0.27778</f>
        <v>0</v>
      </c>
      <c r="M204" s="130"/>
      <c r="N204" s="146" t="n">
        <f aca="false">Tabela43[[#This Row],[Kolumna84]]/2.55</f>
        <v>0</v>
      </c>
      <c r="O204" s="28" t="n">
        <f aca="false">Tabela43[[#This Row],[Kolumna82]]*35.94*0.27778</f>
        <v>0</v>
      </c>
      <c r="P204" s="130"/>
      <c r="Q204" s="130"/>
      <c r="R204" s="130" t="n">
        <v>10</v>
      </c>
      <c r="S204" s="116" t="n">
        <f aca="false">Tabela43[[#This Row],[Kolumna92]]*0.65</f>
        <v>6.5</v>
      </c>
      <c r="T204" s="28" t="n">
        <f aca="false">Tabela43[[#This Row],[Kolumna10]]*15600*0.27778</f>
        <v>28166.892</v>
      </c>
      <c r="U204" s="130"/>
      <c r="V204" s="130"/>
      <c r="W204" s="130"/>
      <c r="X204" s="130" t="n">
        <v>120</v>
      </c>
      <c r="Y204" s="130" t="n">
        <f aca="false">Tabela43[[#This Row],[Kolumna1223]]*12</f>
        <v>1440</v>
      </c>
      <c r="Z204" s="28" t="n">
        <f aca="false">Tabela43[[#This Row],[Kolumna123]]/0.55</f>
        <v>2618.18181818182</v>
      </c>
      <c r="AA204" s="130"/>
      <c r="AB204" s="130" t="n">
        <v>200</v>
      </c>
      <c r="AC204" s="125" t="n">
        <f aca="false">Tabela54[[#This Row],[Kolumna22]]*12</f>
        <v>2400</v>
      </c>
      <c r="AD204" s="122" t="n">
        <f aca="false">Tabela54[[#This Row],[Kolumna3]]/4.44</f>
        <v>540.540540540541</v>
      </c>
      <c r="AE204" s="120" t="n">
        <f aca="false">Tabela54[[#This Row],[Kolumna23]]*Tabela54[[#This Row],[Kolumna63]]</f>
        <v>162.162162162162</v>
      </c>
      <c r="AF204" s="120" t="n">
        <v>200</v>
      </c>
      <c r="AG204" s="122" t="n">
        <f aca="false">Tabela54[[#This Row],[Kolumna12]]*12</f>
        <v>2400</v>
      </c>
      <c r="AH204" s="122" t="n">
        <f aca="false">Tabela54[[#This Row],[Kolumna222]]/1.59</f>
        <v>1509.43396226415</v>
      </c>
      <c r="AI204" s="119" t="n">
        <f aca="false">Tabela54[[#This Row],[Kolumna223]]*Tabela54[[#This Row],[Kolumna63]]</f>
        <v>452.830188679245</v>
      </c>
      <c r="AJ204" s="119"/>
      <c r="AK204" s="122" t="n">
        <f aca="false">Tabela54[[#This Row],[Kolumna34]]*12</f>
        <v>0</v>
      </c>
      <c r="AL204" s="122" t="n">
        <f aca="false">Tabela54[[#This Row],[Kolumna32]]/4.2</f>
        <v>0</v>
      </c>
      <c r="AM204" s="119" t="n">
        <f aca="false">Tabela54[[#This Row],[Kolumna322]]*Tabela54[[#This Row],[Kolumna63]]</f>
        <v>0</v>
      </c>
      <c r="AN204" s="122"/>
      <c r="AO204" s="122" t="n">
        <f aca="false">Tabela54[[#This Row],[Kolumna5]]*Tabela54[[#This Row],[Kolumna63]]</f>
        <v>0</v>
      </c>
      <c r="AP204" s="53" t="n">
        <v>0.3</v>
      </c>
      <c r="AQ204" s="29"/>
      <c r="AR204" s="29"/>
      <c r="AS204" s="29"/>
      <c r="AT204" s="29"/>
    </row>
    <row r="205" customFormat="false" ht="26.25" hidden="false" customHeight="true" outlineLevel="0" collapsed="false">
      <c r="A205" s="25" t="n">
        <v>198</v>
      </c>
      <c r="B205" s="27" t="s">
        <v>241</v>
      </c>
      <c r="C205" s="49" t="s">
        <v>249</v>
      </c>
      <c r="D205" s="134"/>
      <c r="E205" s="135" t="n">
        <v>100</v>
      </c>
      <c r="F20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409.836516</v>
      </c>
      <c r="G205" s="135"/>
      <c r="H205" s="130" t="n">
        <v>3</v>
      </c>
      <c r="I205" s="26" t="n">
        <f aca="false">Tabela43[[#This Row],[Kolumna5]]*20700*0.27778</f>
        <v>17250.138</v>
      </c>
      <c r="J205" s="130"/>
      <c r="K205" s="130"/>
      <c r="L205" s="28" t="n">
        <f aca="false">Tabela43[[#This Row],[Kolumna8]]*0.000843882*40190*0.27778</f>
        <v>0</v>
      </c>
      <c r="M205" s="130"/>
      <c r="N205" s="146" t="n">
        <f aca="false">Tabela43[[#This Row],[Kolumna84]]/2.55</f>
        <v>0</v>
      </c>
      <c r="O205" s="28" t="n">
        <f aca="false">Tabela43[[#This Row],[Kolumna82]]*35.94*0.27778</f>
        <v>0</v>
      </c>
      <c r="P205" s="130"/>
      <c r="Q205" s="130"/>
      <c r="R205" s="130" t="n">
        <v>8</v>
      </c>
      <c r="S205" s="116" t="n">
        <f aca="false">Tabela43[[#This Row],[Kolumna92]]*0.65</f>
        <v>5.2</v>
      </c>
      <c r="T205" s="28" t="n">
        <f aca="false">Tabela43[[#This Row],[Kolumna10]]*15600*0.27778</f>
        <v>22533.5136</v>
      </c>
      <c r="U205" s="130"/>
      <c r="V205" s="130"/>
      <c r="W205" s="130"/>
      <c r="X205" s="130" t="n">
        <v>100</v>
      </c>
      <c r="Y205" s="130" t="n">
        <f aca="false">Tabela43[[#This Row],[Kolumna1223]]*12</f>
        <v>1200</v>
      </c>
      <c r="Z205" s="28" t="n">
        <f aca="false">Tabela43[[#This Row],[Kolumna123]]/0.55</f>
        <v>2181.81818181818</v>
      </c>
      <c r="AA205" s="130"/>
      <c r="AB205" s="130" t="n">
        <v>200</v>
      </c>
      <c r="AC205" s="125" t="n">
        <f aca="false">Tabela54[[#This Row],[Kolumna22]]*12</f>
        <v>2400</v>
      </c>
      <c r="AD205" s="122" t="n">
        <f aca="false">Tabela54[[#This Row],[Kolumna3]]/4.44</f>
        <v>540.540540540541</v>
      </c>
      <c r="AE205" s="120" t="n">
        <f aca="false">Tabela54[[#This Row],[Kolumna23]]*Tabela54[[#This Row],[Kolumna63]]</f>
        <v>324.324324324324</v>
      </c>
      <c r="AF205" s="120" t="n">
        <v>100</v>
      </c>
      <c r="AG205" s="122" t="n">
        <f aca="false">Tabela54[[#This Row],[Kolumna12]]*12</f>
        <v>1200</v>
      </c>
      <c r="AH205" s="122" t="n">
        <f aca="false">Tabela54[[#This Row],[Kolumna222]]/1.59</f>
        <v>754.716981132076</v>
      </c>
      <c r="AI205" s="119" t="n">
        <f aca="false">Tabela54[[#This Row],[Kolumna223]]*Tabela54[[#This Row],[Kolumna63]]</f>
        <v>452.830188679245</v>
      </c>
      <c r="AJ205" s="119"/>
      <c r="AK205" s="122" t="n">
        <f aca="false">Tabela54[[#This Row],[Kolumna34]]*12</f>
        <v>0</v>
      </c>
      <c r="AL205" s="122" t="n">
        <f aca="false">Tabela54[[#This Row],[Kolumna32]]/4.2</f>
        <v>0</v>
      </c>
      <c r="AM205" s="119" t="n">
        <f aca="false">Tabela54[[#This Row],[Kolumna322]]*Tabela54[[#This Row],[Kolumna63]]</f>
        <v>0</v>
      </c>
      <c r="AN205" s="122"/>
      <c r="AO205" s="122" t="n">
        <f aca="false">Tabela54[[#This Row],[Kolumna5]]*Tabela54[[#This Row],[Kolumna63]]</f>
        <v>0</v>
      </c>
      <c r="AP205" s="53" t="n">
        <v>0.6</v>
      </c>
      <c r="AQ205" s="29"/>
      <c r="AR205" s="29"/>
      <c r="AS205" s="29"/>
      <c r="AT205" s="29"/>
    </row>
    <row r="206" customFormat="false" ht="27" hidden="false" customHeight="true" outlineLevel="0" collapsed="false">
      <c r="A206" s="25" t="n">
        <v>199</v>
      </c>
      <c r="B206" s="27" t="s">
        <v>241</v>
      </c>
      <c r="C206" s="49" t="s">
        <v>242</v>
      </c>
      <c r="D206" s="134"/>
      <c r="E206" s="135" t="n">
        <v>100</v>
      </c>
      <c r="F20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292.46892</v>
      </c>
      <c r="G206" s="135"/>
      <c r="H206" s="130"/>
      <c r="I206" s="26" t="n">
        <f aca="false">Tabela43[[#This Row],[Kolumna5]]*20700*0.27778</f>
        <v>0</v>
      </c>
      <c r="J206" s="130"/>
      <c r="K206" s="130"/>
      <c r="L206" s="28" t="n">
        <f aca="false">Tabela43[[#This Row],[Kolumna8]]*0.000843882*40190*0.27778</f>
        <v>0</v>
      </c>
      <c r="M206" s="130"/>
      <c r="N206" s="146" t="n">
        <f aca="false">Tabela43[[#This Row],[Kolumna84]]/2.55</f>
        <v>0</v>
      </c>
      <c r="O206" s="28" t="n">
        <f aca="false">Tabela43[[#This Row],[Kolumna82]]*35.94*0.27778</f>
        <v>0</v>
      </c>
      <c r="P206" s="130"/>
      <c r="Q206" s="130"/>
      <c r="R206" s="130" t="n">
        <v>10</v>
      </c>
      <c r="S206" s="116" t="n">
        <f aca="false">Tabela43[[#This Row],[Kolumna92]]*0.65</f>
        <v>6.5</v>
      </c>
      <c r="T206" s="28" t="n">
        <f aca="false">Tabela43[[#This Row],[Kolumna10]]*15600*0.27778</f>
        <v>28166.892</v>
      </c>
      <c r="U206" s="130"/>
      <c r="V206" s="130"/>
      <c r="W206" s="130"/>
      <c r="X206" s="130" t="n">
        <v>90</v>
      </c>
      <c r="Y206" s="130" t="n">
        <f aca="false">Tabela43[[#This Row],[Kolumna1223]]*12</f>
        <v>1080</v>
      </c>
      <c r="Z206" s="28" t="n">
        <f aca="false">Tabela43[[#This Row],[Kolumna123]]/0.55</f>
        <v>1963.63636363636</v>
      </c>
      <c r="AA206" s="130"/>
      <c r="AB206" s="130" t="n">
        <v>100</v>
      </c>
      <c r="AC206" s="125" t="n">
        <f aca="false">Tabela54[[#This Row],[Kolumna22]]*12</f>
        <v>1200</v>
      </c>
      <c r="AD206" s="122" t="n">
        <f aca="false">Tabela54[[#This Row],[Kolumna3]]/4.44</f>
        <v>270.27027027027</v>
      </c>
      <c r="AE206" s="120" t="n">
        <f aca="false">Tabela54[[#This Row],[Kolumna23]]*Tabela54[[#This Row],[Kolumna63]]</f>
        <v>27.027027027027</v>
      </c>
      <c r="AF206" s="120"/>
      <c r="AG206" s="122" t="n">
        <f aca="false">Tabela54[[#This Row],[Kolumna12]]*12</f>
        <v>0</v>
      </c>
      <c r="AH206" s="122" t="n">
        <f aca="false">Tabela54[[#This Row],[Kolumna222]]/1.59</f>
        <v>0</v>
      </c>
      <c r="AI206" s="119" t="n">
        <f aca="false">Tabela54[[#This Row],[Kolumna223]]*Tabela54[[#This Row],[Kolumna63]]</f>
        <v>0</v>
      </c>
      <c r="AJ206" s="119"/>
      <c r="AK206" s="122" t="n">
        <f aca="false">Tabela54[[#This Row],[Kolumna34]]*12</f>
        <v>0</v>
      </c>
      <c r="AL206" s="122" t="n">
        <f aca="false">Tabela54[[#This Row],[Kolumna32]]/4.2</f>
        <v>0</v>
      </c>
      <c r="AM206" s="119" t="n">
        <f aca="false">Tabela54[[#This Row],[Kolumna322]]*Tabela54[[#This Row],[Kolumna63]]</f>
        <v>0</v>
      </c>
      <c r="AN206" s="122"/>
      <c r="AO206" s="122" t="n">
        <f aca="false">Tabela54[[#This Row],[Kolumna5]]*Tabela54[[#This Row],[Kolumna63]]</f>
        <v>0</v>
      </c>
      <c r="AP206" s="53" t="n">
        <v>0.1</v>
      </c>
      <c r="AQ206" s="29"/>
      <c r="AR206" s="29"/>
      <c r="AS206" s="29"/>
      <c r="AT206" s="29"/>
    </row>
    <row r="207" customFormat="false" ht="30" hidden="false" customHeight="true" outlineLevel="0" collapsed="false">
      <c r="A207" s="40" t="n">
        <v>200</v>
      </c>
      <c r="B207" s="27" t="s">
        <v>241</v>
      </c>
      <c r="C207" s="49" t="s">
        <v>242</v>
      </c>
      <c r="D207" s="134"/>
      <c r="E207" s="135" t="n">
        <v>120</v>
      </c>
      <c r="F20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247.61302</v>
      </c>
      <c r="G207" s="135"/>
      <c r="H207" s="130" t="n">
        <v>4</v>
      </c>
      <c r="I207" s="26" t="n">
        <f aca="false">Tabela43[[#This Row],[Kolumna5]]*20700*0.27778</f>
        <v>23000.184</v>
      </c>
      <c r="J207" s="130"/>
      <c r="K207" s="130"/>
      <c r="L207" s="28" t="n">
        <f aca="false">Tabela43[[#This Row],[Kolumna8]]*0.000843882*40190*0.27778</f>
        <v>0</v>
      </c>
      <c r="M207" s="130"/>
      <c r="N207" s="146" t="n">
        <f aca="false">Tabela43[[#This Row],[Kolumna84]]/2.55</f>
        <v>0</v>
      </c>
      <c r="O207" s="28" t="n">
        <f aca="false">Tabela43[[#This Row],[Kolumna82]]*35.94*0.27778</f>
        <v>0</v>
      </c>
      <c r="P207" s="130"/>
      <c r="Q207" s="130"/>
      <c r="R207" s="130" t="n">
        <v>2</v>
      </c>
      <c r="S207" s="116" t="n">
        <f aca="false">Tabela43[[#This Row],[Kolumna92]]*0.65</f>
        <v>1.3</v>
      </c>
      <c r="T207" s="28" t="n">
        <f aca="false">Tabela43[[#This Row],[Kolumna10]]*15600*0.27778</f>
        <v>5633.3784</v>
      </c>
      <c r="U207" s="130"/>
      <c r="V207" s="130"/>
      <c r="W207" s="130"/>
      <c r="X207" s="130" t="n">
        <v>90</v>
      </c>
      <c r="Y207" s="130" t="n">
        <f aca="false">Tabela43[[#This Row],[Kolumna1223]]*12</f>
        <v>1080</v>
      </c>
      <c r="Z207" s="28" t="n">
        <f aca="false">Tabela43[[#This Row],[Kolumna123]]/0.55</f>
        <v>1963.63636363636</v>
      </c>
      <c r="AA207" s="130"/>
      <c r="AB207" s="130"/>
      <c r="AC207" s="125" t="n">
        <f aca="false">Tabela54[[#This Row],[Kolumna22]]*12</f>
        <v>0</v>
      </c>
      <c r="AD207" s="122" t="n">
        <f aca="false">Tabela54[[#This Row],[Kolumna3]]/4.44</f>
        <v>0</v>
      </c>
      <c r="AE207" s="120" t="n">
        <f aca="false">Tabela54[[#This Row],[Kolumna23]]*Tabela54[[#This Row],[Kolumna63]]</f>
        <v>0</v>
      </c>
      <c r="AF207" s="120"/>
      <c r="AG207" s="122" t="n">
        <f aca="false">Tabela54[[#This Row],[Kolumna12]]*12</f>
        <v>0</v>
      </c>
      <c r="AH207" s="122" t="n">
        <f aca="false">Tabela54[[#This Row],[Kolumna222]]/1.59</f>
        <v>0</v>
      </c>
      <c r="AI207" s="119" t="n">
        <f aca="false">Tabela54[[#This Row],[Kolumna223]]*Tabela54[[#This Row],[Kolumna63]]</f>
        <v>0</v>
      </c>
      <c r="AJ207" s="119" t="n">
        <v>150</v>
      </c>
      <c r="AK207" s="122" t="n">
        <f aca="false">Tabela54[[#This Row],[Kolumna34]]*12</f>
        <v>1800</v>
      </c>
      <c r="AL207" s="122" t="n">
        <f aca="false">Tabela54[[#This Row],[Kolumna32]]/4.2</f>
        <v>428.571428571429</v>
      </c>
      <c r="AM207" s="119" t="n">
        <f aca="false">Tabela54[[#This Row],[Kolumna322]]*Tabela54[[#This Row],[Kolumna63]]</f>
        <v>21.4285714285714</v>
      </c>
      <c r="AN207" s="122"/>
      <c r="AO207" s="122" t="n">
        <f aca="false">Tabela54[[#This Row],[Kolumna5]]*Tabela54[[#This Row],[Kolumna63]]</f>
        <v>0</v>
      </c>
      <c r="AP207" s="53" t="n">
        <v>0.05</v>
      </c>
      <c r="AQ207" s="29"/>
      <c r="AR207" s="29"/>
      <c r="AS207" s="29"/>
      <c r="AT207" s="29"/>
    </row>
    <row r="208" customFormat="false" ht="29.25" hidden="false" customHeight="true" outlineLevel="0" collapsed="false">
      <c r="A208" s="25" t="n">
        <v>201</v>
      </c>
      <c r="B208" s="27" t="s">
        <v>241</v>
      </c>
      <c r="C208" s="49" t="s">
        <v>242</v>
      </c>
      <c r="D208" s="134"/>
      <c r="E208" s="135" t="n">
        <v>160</v>
      </c>
      <c r="F20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298.1824065</v>
      </c>
      <c r="G208" s="135"/>
      <c r="H208" s="130" t="n">
        <v>5</v>
      </c>
      <c r="I208" s="26" t="n">
        <f aca="false">Tabela43[[#This Row],[Kolumna5]]*20700*0.27778</f>
        <v>28750.23</v>
      </c>
      <c r="J208" s="130"/>
      <c r="K208" s="130"/>
      <c r="L208" s="28" t="n">
        <f aca="false">Tabela43[[#This Row],[Kolumna8]]*0.000843882*40190*0.27778</f>
        <v>0</v>
      </c>
      <c r="M208" s="130" t="n">
        <f aca="false">230*12</f>
        <v>2760</v>
      </c>
      <c r="N208" s="146" t="n">
        <f aca="false">Tabela43[[#This Row],[Kolumna84]]/2.55</f>
        <v>1082.35294117647</v>
      </c>
      <c r="O208" s="28" t="n">
        <f aca="false">Tabela43[[#This Row],[Kolumna82]]*35.94*0.27778</f>
        <v>10805.57664</v>
      </c>
      <c r="P208" s="130"/>
      <c r="Q208" s="130"/>
      <c r="R208" s="130" t="n">
        <v>2</v>
      </c>
      <c r="S208" s="116" t="n">
        <f aca="false">Tabela43[[#This Row],[Kolumna92]]*0.65</f>
        <v>1.3</v>
      </c>
      <c r="T208" s="28" t="n">
        <f aca="false">Tabela43[[#This Row],[Kolumna10]]*15600*0.27778</f>
        <v>5633.3784</v>
      </c>
      <c r="U208" s="130"/>
      <c r="V208" s="130"/>
      <c r="W208" s="130"/>
      <c r="X208" s="130" t="n">
        <v>210</v>
      </c>
      <c r="Y208" s="130" t="n">
        <f aca="false">Tabela43[[#This Row],[Kolumna1223]]*12</f>
        <v>2520</v>
      </c>
      <c r="Z208" s="28" t="n">
        <f aca="false">Tabela43[[#This Row],[Kolumna123]]/0.55</f>
        <v>4581.81818181818</v>
      </c>
      <c r="AA208" s="130"/>
      <c r="AB208" s="130" t="n">
        <v>200</v>
      </c>
      <c r="AC208" s="125" t="n">
        <f aca="false">Tabela54[[#This Row],[Kolumna22]]*12</f>
        <v>2400</v>
      </c>
      <c r="AD208" s="122" t="n">
        <f aca="false">Tabela54[[#This Row],[Kolumna3]]/4.44</f>
        <v>540.540540540541</v>
      </c>
      <c r="AE208" s="120" t="n">
        <f aca="false">Tabela54[[#This Row],[Kolumna23]]*Tabela54[[#This Row],[Kolumna63]]</f>
        <v>324.324324324324</v>
      </c>
      <c r="AF208" s="120"/>
      <c r="AG208" s="122" t="n">
        <f aca="false">Tabela54[[#This Row],[Kolumna12]]*12</f>
        <v>0</v>
      </c>
      <c r="AH208" s="122" t="n">
        <f aca="false">Tabela54[[#This Row],[Kolumna222]]/1.59</f>
        <v>0</v>
      </c>
      <c r="AI208" s="119" t="n">
        <f aca="false">Tabela54[[#This Row],[Kolumna223]]*Tabela54[[#This Row],[Kolumna63]]</f>
        <v>0</v>
      </c>
      <c r="AJ208" s="119" t="n">
        <v>1000</v>
      </c>
      <c r="AK208" s="122" t="n">
        <f aca="false">Tabela54[[#This Row],[Kolumna34]]*12</f>
        <v>12000</v>
      </c>
      <c r="AL208" s="122" t="n">
        <f aca="false">Tabela54[[#This Row],[Kolumna32]]/4.2</f>
        <v>2857.14285714286</v>
      </c>
      <c r="AM208" s="119" t="n">
        <f aca="false">Tabela54[[#This Row],[Kolumna322]]*Tabela54[[#This Row],[Kolumna63]]</f>
        <v>1714.28571428571</v>
      </c>
      <c r="AN208" s="122"/>
      <c r="AO208" s="122" t="n">
        <f aca="false">Tabela54[[#This Row],[Kolumna5]]*Tabela54[[#This Row],[Kolumna63]]</f>
        <v>0</v>
      </c>
      <c r="AP208" s="53" t="n">
        <v>0.6</v>
      </c>
      <c r="AQ208" s="29"/>
      <c r="AR208" s="29"/>
      <c r="AS208" s="29"/>
      <c r="AT208" s="29"/>
    </row>
    <row r="209" customFormat="false" ht="27" hidden="false" customHeight="true" outlineLevel="0" collapsed="false">
      <c r="A209" s="25" t="n">
        <v>202</v>
      </c>
      <c r="B209" s="27" t="s">
        <v>241</v>
      </c>
      <c r="C209" s="49" t="s">
        <v>242</v>
      </c>
      <c r="D209" s="134"/>
      <c r="E209" s="135" t="n">
        <v>200</v>
      </c>
      <c r="F20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297.752286</v>
      </c>
      <c r="G209" s="135"/>
      <c r="H209" s="130" t="n">
        <v>7</v>
      </c>
      <c r="I209" s="26" t="n">
        <f aca="false">Tabela43[[#This Row],[Kolumna5]]*20700*0.27778</f>
        <v>40250.322</v>
      </c>
      <c r="J209" s="130"/>
      <c r="K209" s="130"/>
      <c r="L209" s="28" t="n">
        <f aca="false">Tabela43[[#This Row],[Kolumna8]]*0.000843882*40190*0.27778</f>
        <v>0</v>
      </c>
      <c r="M209" s="130"/>
      <c r="N209" s="146" t="n">
        <f aca="false">Tabela43[[#This Row],[Kolumna84]]/2.55</f>
        <v>0</v>
      </c>
      <c r="O209" s="28" t="n">
        <f aca="false">Tabela43[[#This Row],[Kolumna82]]*35.94*0.27778</f>
        <v>0</v>
      </c>
      <c r="P209" s="130"/>
      <c r="Q209" s="130"/>
      <c r="R209" s="130" t="n">
        <v>6</v>
      </c>
      <c r="S209" s="116" t="n">
        <f aca="false">Tabela43[[#This Row],[Kolumna92]]*0.65</f>
        <v>3.9</v>
      </c>
      <c r="T209" s="28" t="n">
        <f aca="false">Tabela43[[#This Row],[Kolumna10]]*15600*0.27778</f>
        <v>16900.1352</v>
      </c>
      <c r="U209" s="130"/>
      <c r="V209" s="130"/>
      <c r="W209" s="130"/>
      <c r="X209" s="130" t="n">
        <v>200</v>
      </c>
      <c r="Y209" s="130" t="n">
        <f aca="false">Tabela43[[#This Row],[Kolumna1223]]*12</f>
        <v>2400</v>
      </c>
      <c r="Z209" s="28" t="n">
        <f aca="false">Tabela43[[#This Row],[Kolumna123]]/0.55</f>
        <v>4363.63636363636</v>
      </c>
      <c r="AA209" s="130"/>
      <c r="AB209" s="130"/>
      <c r="AC209" s="125" t="n">
        <f aca="false">Tabela54[[#This Row],[Kolumna22]]*12</f>
        <v>0</v>
      </c>
      <c r="AD209" s="122" t="n">
        <f aca="false">Tabela54[[#This Row],[Kolumna3]]/4.44</f>
        <v>0</v>
      </c>
      <c r="AE209" s="120" t="n">
        <f aca="false">Tabela54[[#This Row],[Kolumna23]]*Tabela54[[#This Row],[Kolumna63]]</f>
        <v>0</v>
      </c>
      <c r="AF209" s="120"/>
      <c r="AG209" s="122" t="n">
        <f aca="false">Tabela54[[#This Row],[Kolumna12]]*12</f>
        <v>0</v>
      </c>
      <c r="AH209" s="122" t="n">
        <f aca="false">Tabela54[[#This Row],[Kolumna222]]/1.59</f>
        <v>0</v>
      </c>
      <c r="AI209" s="119" t="n">
        <f aca="false">Tabela54[[#This Row],[Kolumna223]]*Tabela54[[#This Row],[Kolumna63]]</f>
        <v>0</v>
      </c>
      <c r="AJ209" s="119" t="n">
        <v>300</v>
      </c>
      <c r="AK209" s="122" t="n">
        <f aca="false">Tabela54[[#This Row],[Kolumna34]]*12</f>
        <v>3600</v>
      </c>
      <c r="AL209" s="122" t="n">
        <f aca="false">Tabela54[[#This Row],[Kolumna32]]/4.2</f>
        <v>857.142857142857</v>
      </c>
      <c r="AM209" s="119" t="n">
        <f aca="false">Tabela54[[#This Row],[Kolumna322]]*Tabela54[[#This Row],[Kolumna63]]</f>
        <v>257.142857142857</v>
      </c>
      <c r="AN209" s="122"/>
      <c r="AO209" s="122" t="n">
        <f aca="false">Tabela54[[#This Row],[Kolumna5]]*Tabela54[[#This Row],[Kolumna63]]</f>
        <v>0</v>
      </c>
      <c r="AP209" s="53" t="n">
        <v>0.3</v>
      </c>
      <c r="AQ209" s="29"/>
      <c r="AR209" s="29"/>
      <c r="AS209" s="29"/>
      <c r="AT209" s="29"/>
    </row>
    <row r="210" customFormat="false" ht="26.25" hidden="false" customHeight="true" outlineLevel="0" collapsed="false">
      <c r="A210" s="40" t="n">
        <v>203</v>
      </c>
      <c r="B210" s="27" t="s">
        <v>241</v>
      </c>
      <c r="C210" s="49" t="s">
        <v>242</v>
      </c>
      <c r="D210" s="134"/>
      <c r="E210" s="135" t="n">
        <v>250</v>
      </c>
      <c r="F21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206.6014608</v>
      </c>
      <c r="G210" s="135"/>
      <c r="H210" s="130" t="n">
        <v>5</v>
      </c>
      <c r="I210" s="26" t="n">
        <f aca="false">Tabela43[[#This Row],[Kolumna5]]*20700*0.27778</f>
        <v>28750.23</v>
      </c>
      <c r="J210" s="130"/>
      <c r="K210" s="130"/>
      <c r="L210" s="28" t="n">
        <f aca="false">Tabela43[[#This Row],[Kolumna8]]*0.000843882*40190*0.27778</f>
        <v>0</v>
      </c>
      <c r="M210" s="130"/>
      <c r="N210" s="146" t="n">
        <f aca="false">Tabela43[[#This Row],[Kolumna84]]/2.55</f>
        <v>0</v>
      </c>
      <c r="O210" s="28" t="n">
        <f aca="false">Tabela43[[#This Row],[Kolumna82]]*35.94*0.27778</f>
        <v>0</v>
      </c>
      <c r="P210" s="130"/>
      <c r="Q210" s="130"/>
      <c r="R210" s="130" t="n">
        <v>6</v>
      </c>
      <c r="S210" s="116" t="n">
        <f aca="false">Tabela43[[#This Row],[Kolumna92]]*0.65</f>
        <v>3.9</v>
      </c>
      <c r="T210" s="28" t="n">
        <f aca="false">Tabela43[[#This Row],[Kolumna10]]*15600*0.27778</f>
        <v>16900.1352</v>
      </c>
      <c r="U210" s="130"/>
      <c r="V210" s="130"/>
      <c r="W210" s="130"/>
      <c r="X210" s="130" t="n">
        <v>500</v>
      </c>
      <c r="Y210" s="130" t="n">
        <f aca="false">Tabela43[[#This Row],[Kolumna1223]]*12</f>
        <v>6000</v>
      </c>
      <c r="Z210" s="28" t="n">
        <f aca="false">Tabela43[[#This Row],[Kolumna123]]/0.55</f>
        <v>10909.0909090909</v>
      </c>
      <c r="AA210" s="130"/>
      <c r="AB210" s="130"/>
      <c r="AC210" s="125" t="n">
        <f aca="false">Tabela54[[#This Row],[Kolumna22]]*12</f>
        <v>0</v>
      </c>
      <c r="AD210" s="122" t="n">
        <f aca="false">Tabela54[[#This Row],[Kolumna3]]/4.44</f>
        <v>0</v>
      </c>
      <c r="AE210" s="120" t="n">
        <f aca="false">Tabela54[[#This Row],[Kolumna23]]*Tabela54[[#This Row],[Kolumna63]]</f>
        <v>0</v>
      </c>
      <c r="AF210" s="120" t="n">
        <v>100</v>
      </c>
      <c r="AG210" s="122" t="n">
        <f aca="false">Tabela54[[#This Row],[Kolumna12]]*12</f>
        <v>1200</v>
      </c>
      <c r="AH210" s="122" t="n">
        <f aca="false">Tabela54[[#This Row],[Kolumna222]]/1.59</f>
        <v>754.716981132076</v>
      </c>
      <c r="AI210" s="119" t="n">
        <f aca="false">Tabela54[[#This Row],[Kolumna223]]*Tabela54[[#This Row],[Kolumna63]]</f>
        <v>301.88679245283</v>
      </c>
      <c r="AJ210" s="119" t="n">
        <v>500</v>
      </c>
      <c r="AK210" s="122" t="n">
        <f aca="false">Tabela54[[#This Row],[Kolumna34]]*12</f>
        <v>6000</v>
      </c>
      <c r="AL210" s="122" t="n">
        <f aca="false">Tabela54[[#This Row],[Kolumna32]]/4.2</f>
        <v>1428.57142857143</v>
      </c>
      <c r="AM210" s="119" t="n">
        <f aca="false">Tabela54[[#This Row],[Kolumna322]]*Tabela54[[#This Row],[Kolumna63]]</f>
        <v>571.428571428571</v>
      </c>
      <c r="AN210" s="122"/>
      <c r="AO210" s="122" t="n">
        <f aca="false">Tabela54[[#This Row],[Kolumna5]]*Tabela54[[#This Row],[Kolumna63]]</f>
        <v>0</v>
      </c>
      <c r="AP210" s="53" t="n">
        <v>0.4</v>
      </c>
      <c r="AQ210" s="29"/>
      <c r="AR210" s="29"/>
      <c r="AS210" s="29"/>
      <c r="AT210" s="29"/>
    </row>
    <row r="211" customFormat="false" ht="29.25" hidden="false" customHeight="true" outlineLevel="0" collapsed="false">
      <c r="A211" s="25" t="n">
        <v>204</v>
      </c>
      <c r="B211" s="27" t="s">
        <v>241</v>
      </c>
      <c r="C211" s="49" t="s">
        <v>242</v>
      </c>
      <c r="D211" s="134"/>
      <c r="E211" s="135" t="n">
        <v>80</v>
      </c>
      <c r="F21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528.8373</v>
      </c>
      <c r="G211" s="135"/>
      <c r="H211" s="130" t="n">
        <v>2</v>
      </c>
      <c r="I211" s="26" t="n">
        <f aca="false">Tabela43[[#This Row],[Kolumna5]]*20700*0.27778</f>
        <v>11500.092</v>
      </c>
      <c r="J211" s="130"/>
      <c r="K211" s="130"/>
      <c r="L211" s="28" t="n">
        <f aca="false">Tabela43[[#This Row],[Kolumna8]]*0.000843882*40190*0.27778</f>
        <v>0</v>
      </c>
      <c r="M211" s="130"/>
      <c r="N211" s="146" t="n">
        <f aca="false">Tabela43[[#This Row],[Kolumna84]]/2.55</f>
        <v>0</v>
      </c>
      <c r="O211" s="28" t="n">
        <f aca="false">Tabela43[[#This Row],[Kolumna82]]*35.94*0.27778</f>
        <v>0</v>
      </c>
      <c r="P211" s="130"/>
      <c r="Q211" s="130"/>
      <c r="R211" s="130" t="n">
        <v>10</v>
      </c>
      <c r="S211" s="116" t="n">
        <f aca="false">Tabela43[[#This Row],[Kolumna92]]*0.65</f>
        <v>6.5</v>
      </c>
      <c r="T211" s="28" t="n">
        <f aca="false">Tabela43[[#This Row],[Kolumna10]]*15600*0.27778</f>
        <v>28166.892</v>
      </c>
      <c r="U211" s="130"/>
      <c r="V211" s="130"/>
      <c r="W211" s="130"/>
      <c r="X211" s="130" t="n">
        <v>220</v>
      </c>
      <c r="Y211" s="130" t="n">
        <f aca="false">Tabela43[[#This Row],[Kolumna1223]]*12</f>
        <v>2640</v>
      </c>
      <c r="Z211" s="28" t="n">
        <f aca="false">Tabela43[[#This Row],[Kolumna123]]/0.55</f>
        <v>4800</v>
      </c>
      <c r="AA211" s="130"/>
      <c r="AB211" s="130"/>
      <c r="AC211" s="125" t="n">
        <f aca="false">Tabela54[[#This Row],[Kolumna22]]*12</f>
        <v>0</v>
      </c>
      <c r="AD211" s="122" t="n">
        <f aca="false">Tabela54[[#This Row],[Kolumna3]]/4.44</f>
        <v>0</v>
      </c>
      <c r="AE211" s="120" t="n">
        <f aca="false">Tabela54[[#This Row],[Kolumna23]]*Tabela54[[#This Row],[Kolumna63]]</f>
        <v>0</v>
      </c>
      <c r="AF211" s="120" t="n">
        <v>300</v>
      </c>
      <c r="AG211" s="122" t="n">
        <f aca="false">Tabela54[[#This Row],[Kolumna12]]*12</f>
        <v>3600</v>
      </c>
      <c r="AH211" s="122" t="n">
        <f aca="false">Tabela54[[#This Row],[Kolumna222]]/1.59</f>
        <v>2264.15094339623</v>
      </c>
      <c r="AI211" s="119" t="n">
        <f aca="false">Tabela54[[#This Row],[Kolumna223]]*Tabela54[[#This Row],[Kolumna63]]</f>
        <v>1132.07547169811</v>
      </c>
      <c r="AJ211" s="119" t="n">
        <v>400</v>
      </c>
      <c r="AK211" s="122" t="n">
        <f aca="false">Tabela54[[#This Row],[Kolumna34]]*12</f>
        <v>4800</v>
      </c>
      <c r="AL211" s="122" t="n">
        <f aca="false">Tabela54[[#This Row],[Kolumna32]]/4.2</f>
        <v>1142.85714285714</v>
      </c>
      <c r="AM211" s="119" t="n">
        <f aca="false">Tabela54[[#This Row],[Kolumna322]]*Tabela54[[#This Row],[Kolumna63]]</f>
        <v>571.428571428571</v>
      </c>
      <c r="AN211" s="122"/>
      <c r="AO211" s="122" t="n">
        <f aca="false">Tabela54[[#This Row],[Kolumna5]]*Tabela54[[#This Row],[Kolumna63]]</f>
        <v>0</v>
      </c>
      <c r="AP211" s="53" t="n">
        <v>0.5</v>
      </c>
      <c r="AQ211" s="29"/>
      <c r="AR211" s="29"/>
      <c r="AS211" s="29"/>
      <c r="AT211" s="29"/>
    </row>
    <row r="212" customFormat="false" ht="30" hidden="false" customHeight="true" outlineLevel="0" collapsed="false">
      <c r="A212" s="25" t="n">
        <v>205</v>
      </c>
      <c r="B212" s="27" t="s">
        <v>241</v>
      </c>
      <c r="C212" s="49" t="s">
        <v>242</v>
      </c>
      <c r="D212" s="134"/>
      <c r="E212" s="135" t="n">
        <v>180</v>
      </c>
      <c r="F21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193.742013333333</v>
      </c>
      <c r="G212" s="135"/>
      <c r="H212" s="130" t="n">
        <v>4</v>
      </c>
      <c r="I212" s="26" t="n">
        <f aca="false">Tabela43[[#This Row],[Kolumna5]]*20700*0.27778</f>
        <v>23000.184</v>
      </c>
      <c r="J212" s="130"/>
      <c r="K212" s="130"/>
      <c r="L212" s="28" t="n">
        <f aca="false">Tabela43[[#This Row],[Kolumna8]]*0.000843882*40190*0.27778</f>
        <v>0</v>
      </c>
      <c r="M212" s="130"/>
      <c r="N212" s="146" t="n">
        <f aca="false">Tabela43[[#This Row],[Kolumna84]]/2.55</f>
        <v>0</v>
      </c>
      <c r="O212" s="28" t="n">
        <f aca="false">Tabela43[[#This Row],[Kolumna82]]*35.94*0.27778</f>
        <v>0</v>
      </c>
      <c r="P212" s="130"/>
      <c r="Q212" s="130"/>
      <c r="R212" s="130" t="n">
        <v>2</v>
      </c>
      <c r="S212" s="116" t="n">
        <f aca="false">Tabela43[[#This Row],[Kolumna92]]*0.65</f>
        <v>1.3</v>
      </c>
      <c r="T212" s="28" t="n">
        <f aca="false">Tabela43[[#This Row],[Kolumna10]]*15600*0.27778</f>
        <v>5633.3784</v>
      </c>
      <c r="U212" s="130" t="n">
        <v>3600</v>
      </c>
      <c r="V212" s="130"/>
      <c r="W212" s="130"/>
      <c r="X212" s="130" t="n">
        <v>220</v>
      </c>
      <c r="Y212" s="130" t="n">
        <f aca="false">Tabela43[[#This Row],[Kolumna1223]]*12</f>
        <v>2640</v>
      </c>
      <c r="Z212" s="28" t="n">
        <f aca="false">Tabela43[[#This Row],[Kolumna123]]/0.55</f>
        <v>4800</v>
      </c>
      <c r="AA212" s="130"/>
      <c r="AB212" s="130" t="n">
        <v>400</v>
      </c>
      <c r="AC212" s="125" t="n">
        <f aca="false">Tabela54[[#This Row],[Kolumna22]]*12</f>
        <v>4800</v>
      </c>
      <c r="AD212" s="122" t="n">
        <f aca="false">Tabela54[[#This Row],[Kolumna3]]/4.44</f>
        <v>1081.08108108108</v>
      </c>
      <c r="AE212" s="120" t="n">
        <f aca="false">Tabela54[[#This Row],[Kolumna23]]*Tabela54[[#This Row],[Kolumna63]]</f>
        <v>324.324324324324</v>
      </c>
      <c r="AF212" s="120"/>
      <c r="AG212" s="122" t="n">
        <f aca="false">Tabela54[[#This Row],[Kolumna12]]*12</f>
        <v>0</v>
      </c>
      <c r="AH212" s="122" t="n">
        <f aca="false">Tabela54[[#This Row],[Kolumna222]]/1.59</f>
        <v>0</v>
      </c>
      <c r="AI212" s="119" t="n">
        <f aca="false">Tabela54[[#This Row],[Kolumna223]]*Tabela54[[#This Row],[Kolumna63]]</f>
        <v>0</v>
      </c>
      <c r="AJ212" s="119"/>
      <c r="AK212" s="122" t="n">
        <f aca="false">Tabela54[[#This Row],[Kolumna34]]*12</f>
        <v>0</v>
      </c>
      <c r="AL212" s="122" t="n">
        <f aca="false">Tabela54[[#This Row],[Kolumna32]]/4.2</f>
        <v>0</v>
      </c>
      <c r="AM212" s="119" t="n">
        <f aca="false">Tabela54[[#This Row],[Kolumna322]]*Tabela54[[#This Row],[Kolumna63]]</f>
        <v>0</v>
      </c>
      <c r="AN212" s="122"/>
      <c r="AO212" s="122" t="n">
        <f aca="false">Tabela54[[#This Row],[Kolumna5]]*Tabela54[[#This Row],[Kolumna63]]</f>
        <v>0</v>
      </c>
      <c r="AP212" s="53" t="n">
        <v>0.3</v>
      </c>
      <c r="AQ212" s="29"/>
      <c r="AR212" s="29"/>
      <c r="AS212" s="29"/>
      <c r="AT212" s="29"/>
    </row>
    <row r="213" customFormat="false" ht="28.5" hidden="false" customHeight="true" outlineLevel="0" collapsed="false">
      <c r="A213" s="40" t="n">
        <v>206</v>
      </c>
      <c r="B213" s="27" t="s">
        <v>241</v>
      </c>
      <c r="C213" s="49" t="s">
        <v>242</v>
      </c>
      <c r="D213" s="134"/>
      <c r="E213" s="135" t="n">
        <v>90</v>
      </c>
      <c r="F21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387.55856</v>
      </c>
      <c r="G213" s="135"/>
      <c r="H213" s="130"/>
      <c r="I213" s="26" t="n">
        <f aca="false">Tabela43[[#This Row],[Kolumna5]]*20700*0.27778</f>
        <v>0</v>
      </c>
      <c r="J213" s="130"/>
      <c r="K213" s="130"/>
      <c r="L213" s="28" t="n">
        <f aca="false">Tabela43[[#This Row],[Kolumna8]]*0.000843882*40190*0.27778</f>
        <v>0</v>
      </c>
      <c r="M213" s="130"/>
      <c r="N213" s="146" t="n">
        <f aca="false">Tabela43[[#This Row],[Kolumna84]]/2.55</f>
        <v>0</v>
      </c>
      <c r="O213" s="28" t="n">
        <f aca="false">Tabela43[[#This Row],[Kolumna82]]*35.94*0.27778</f>
        <v>0</v>
      </c>
      <c r="P213" s="130"/>
      <c r="Q213" s="130"/>
      <c r="R213" s="130" t="n">
        <v>12</v>
      </c>
      <c r="S213" s="116" t="n">
        <f aca="false">Tabela43[[#This Row],[Kolumna92]]*0.65</f>
        <v>7.8</v>
      </c>
      <c r="T213" s="28" t="n">
        <f aca="false">Tabela43[[#This Row],[Kolumna10]]*15600*0.27778</f>
        <v>33800.2704</v>
      </c>
      <c r="U213" s="130"/>
      <c r="V213" s="130"/>
      <c r="W213" s="130"/>
      <c r="X213" s="130" t="n">
        <v>90</v>
      </c>
      <c r="Y213" s="130" t="n">
        <f aca="false">Tabela43[[#This Row],[Kolumna1223]]*12</f>
        <v>1080</v>
      </c>
      <c r="Z213" s="28" t="n">
        <f aca="false">Tabela43[[#This Row],[Kolumna123]]/0.55</f>
        <v>1963.63636363636</v>
      </c>
      <c r="AA213" s="130"/>
      <c r="AB213" s="130"/>
      <c r="AC213" s="125" t="n">
        <f aca="false">Tabela54[[#This Row],[Kolumna22]]*12</f>
        <v>0</v>
      </c>
      <c r="AD213" s="122" t="n">
        <f aca="false">Tabela54[[#This Row],[Kolumna3]]/4.44</f>
        <v>0</v>
      </c>
      <c r="AE213" s="120" t="n">
        <f aca="false">Tabela54[[#This Row],[Kolumna23]]*Tabela54[[#This Row],[Kolumna63]]</f>
        <v>0</v>
      </c>
      <c r="AF213" s="120"/>
      <c r="AG213" s="122" t="n">
        <f aca="false">Tabela54[[#This Row],[Kolumna12]]*12</f>
        <v>0</v>
      </c>
      <c r="AH213" s="122" t="n">
        <f aca="false">Tabela54[[#This Row],[Kolumna222]]/1.59</f>
        <v>0</v>
      </c>
      <c r="AI213" s="119" t="n">
        <f aca="false">Tabela54[[#This Row],[Kolumna223]]*Tabela54[[#This Row],[Kolumna63]]</f>
        <v>0</v>
      </c>
      <c r="AJ213" s="119" t="n">
        <v>150</v>
      </c>
      <c r="AK213" s="122" t="n">
        <f aca="false">Tabela54[[#This Row],[Kolumna34]]*12</f>
        <v>1800</v>
      </c>
      <c r="AL213" s="122" t="n">
        <f aca="false">Tabela54[[#This Row],[Kolumna32]]/4.2</f>
        <v>428.571428571429</v>
      </c>
      <c r="AM213" s="119" t="n">
        <f aca="false">Tabela54[[#This Row],[Kolumna322]]*Tabela54[[#This Row],[Kolumna63]]</f>
        <v>128.571428571429</v>
      </c>
      <c r="AN213" s="122"/>
      <c r="AO213" s="122" t="n">
        <f aca="false">Tabela54[[#This Row],[Kolumna5]]*Tabela54[[#This Row],[Kolumna63]]</f>
        <v>0</v>
      </c>
      <c r="AP213" s="53" t="n">
        <v>0.3</v>
      </c>
      <c r="AQ213" s="29"/>
      <c r="AR213" s="29"/>
      <c r="AS213" s="29"/>
      <c r="AT213" s="29"/>
    </row>
    <row r="214" customFormat="false" ht="28.5" hidden="false" customHeight="true" outlineLevel="0" collapsed="false">
      <c r="A214" s="25" t="n">
        <v>207</v>
      </c>
      <c r="B214" s="27" t="s">
        <v>241</v>
      </c>
      <c r="C214" s="49" t="s">
        <v>242</v>
      </c>
      <c r="D214" s="134"/>
      <c r="E214" s="135" t="n">
        <v>150</v>
      </c>
      <c r="F21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317.9802</v>
      </c>
      <c r="G214" s="135"/>
      <c r="H214" s="130" t="n">
        <v>3</v>
      </c>
      <c r="I214" s="26" t="n">
        <f aca="false">Tabela43[[#This Row],[Kolumna5]]*20700*0.27778</f>
        <v>17250.138</v>
      </c>
      <c r="J214" s="130"/>
      <c r="K214" s="130"/>
      <c r="L214" s="28" t="n">
        <f aca="false">Tabela43[[#This Row],[Kolumna8]]*0.000843882*40190*0.27778</f>
        <v>0</v>
      </c>
      <c r="M214" s="130"/>
      <c r="N214" s="146" t="n">
        <f aca="false">Tabela43[[#This Row],[Kolumna84]]/2.55</f>
        <v>0</v>
      </c>
      <c r="O214" s="28" t="n">
        <f aca="false">Tabela43[[#This Row],[Kolumna82]]*35.94*0.27778</f>
        <v>0</v>
      </c>
      <c r="P214" s="130"/>
      <c r="Q214" s="130"/>
      <c r="R214" s="130" t="n">
        <v>10</v>
      </c>
      <c r="S214" s="116" t="n">
        <f aca="false">Tabela43[[#This Row],[Kolumna92]]*0.65</f>
        <v>6.5</v>
      </c>
      <c r="T214" s="28" t="n">
        <f aca="false">Tabela43[[#This Row],[Kolumna10]]*15600*0.27778</f>
        <v>28166.892</v>
      </c>
      <c r="U214" s="130"/>
      <c r="V214" s="130"/>
      <c r="W214" s="130"/>
      <c r="X214" s="130" t="n">
        <v>190</v>
      </c>
      <c r="Y214" s="130" t="n">
        <f aca="false">Tabela43[[#This Row],[Kolumna1223]]*12</f>
        <v>2280</v>
      </c>
      <c r="Z214" s="28" t="n">
        <f aca="false">Tabela43[[#This Row],[Kolumna123]]/0.55</f>
        <v>4145.45454545454</v>
      </c>
      <c r="AA214" s="130"/>
      <c r="AB214" s="130" t="n">
        <v>300</v>
      </c>
      <c r="AC214" s="125" t="n">
        <f aca="false">Tabela54[[#This Row],[Kolumna22]]*12</f>
        <v>3600</v>
      </c>
      <c r="AD214" s="122" t="n">
        <f aca="false">Tabela54[[#This Row],[Kolumna3]]/4.44</f>
        <v>810.810810810811</v>
      </c>
      <c r="AE214" s="120" t="n">
        <f aca="false">Tabela54[[#This Row],[Kolumna23]]*Tabela54[[#This Row],[Kolumna63]]</f>
        <v>324.324324324324</v>
      </c>
      <c r="AF214" s="120"/>
      <c r="AG214" s="122" t="n">
        <f aca="false">Tabela54[[#This Row],[Kolumna12]]*12</f>
        <v>0</v>
      </c>
      <c r="AH214" s="122" t="n">
        <f aca="false">Tabela54[[#This Row],[Kolumna222]]/1.59</f>
        <v>0</v>
      </c>
      <c r="AI214" s="119" t="n">
        <f aca="false">Tabela54[[#This Row],[Kolumna223]]*Tabela54[[#This Row],[Kolumna63]]</f>
        <v>0</v>
      </c>
      <c r="AJ214" s="119"/>
      <c r="AK214" s="122" t="n">
        <f aca="false">Tabela54[[#This Row],[Kolumna34]]*12</f>
        <v>0</v>
      </c>
      <c r="AL214" s="122" t="n">
        <f aca="false">Tabela54[[#This Row],[Kolumna32]]/4.2</f>
        <v>0</v>
      </c>
      <c r="AM214" s="119" t="n">
        <f aca="false">Tabela54[[#This Row],[Kolumna322]]*Tabela54[[#This Row],[Kolumna63]]</f>
        <v>0</v>
      </c>
      <c r="AN214" s="122"/>
      <c r="AO214" s="122" t="n">
        <f aca="false">Tabela54[[#This Row],[Kolumna5]]*Tabela54[[#This Row],[Kolumna63]]</f>
        <v>0</v>
      </c>
      <c r="AP214" s="53" t="n">
        <v>0.4</v>
      </c>
      <c r="AQ214" s="29"/>
      <c r="AR214" s="29"/>
      <c r="AS214" s="29"/>
      <c r="AT214" s="29"/>
    </row>
    <row r="215" customFormat="false" ht="27" hidden="false" customHeight="true" outlineLevel="0" collapsed="false">
      <c r="A215" s="25" t="n">
        <v>208</v>
      </c>
      <c r="B215" s="27" t="s">
        <v>241</v>
      </c>
      <c r="C215" s="49" t="s">
        <v>242</v>
      </c>
      <c r="D215" s="134"/>
      <c r="E215" s="135" t="n">
        <v>120</v>
      </c>
      <c r="F21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191.17788</v>
      </c>
      <c r="G215" s="135"/>
      <c r="H215" s="130"/>
      <c r="I215" s="26" t="n">
        <f aca="false">Tabela43[[#This Row],[Kolumna5]]*20700*0.27778</f>
        <v>0</v>
      </c>
      <c r="J215" s="130"/>
      <c r="K215" s="130"/>
      <c r="L215" s="28" t="n">
        <f aca="false">Tabela43[[#This Row],[Kolumna8]]*0.000843882*40190*0.27778</f>
        <v>0</v>
      </c>
      <c r="M215" s="130" t="n">
        <f aca="false">450*12</f>
        <v>5400</v>
      </c>
      <c r="N215" s="146" t="n">
        <f aca="false">Tabela43[[#This Row],[Kolumna84]]/2.55</f>
        <v>2117.64705882353</v>
      </c>
      <c r="O215" s="28" t="n">
        <f aca="false">Tabela43[[#This Row],[Kolumna82]]*35.94*0.27778</f>
        <v>21141.3456</v>
      </c>
      <c r="P215" s="130"/>
      <c r="Q215" s="130"/>
      <c r="R215" s="130"/>
      <c r="S215" s="116" t="n">
        <f aca="false">Tabela43[[#This Row],[Kolumna92]]*0.65</f>
        <v>0</v>
      </c>
      <c r="T215" s="28" t="n">
        <f aca="false">Tabela43[[#This Row],[Kolumna10]]*15600*0.27778</f>
        <v>0</v>
      </c>
      <c r="U215" s="130"/>
      <c r="V215" s="130"/>
      <c r="W215" s="130"/>
      <c r="X215" s="130" t="n">
        <v>150</v>
      </c>
      <c r="Y215" s="130" t="n">
        <f aca="false">Tabela43[[#This Row],[Kolumna1223]]*12</f>
        <v>1800</v>
      </c>
      <c r="Z215" s="28" t="n">
        <f aca="false">Tabela43[[#This Row],[Kolumna123]]/0.55</f>
        <v>3272.72727272727</v>
      </c>
      <c r="AA215" s="130"/>
      <c r="AB215" s="130" t="n">
        <v>400</v>
      </c>
      <c r="AC215" s="125" t="n">
        <f aca="false">Tabela54[[#This Row],[Kolumna22]]*12</f>
        <v>4800</v>
      </c>
      <c r="AD215" s="122" t="n">
        <f aca="false">Tabela54[[#This Row],[Kolumna3]]/4.44</f>
        <v>1081.08108108108</v>
      </c>
      <c r="AE215" s="120" t="n">
        <f aca="false">Tabela54[[#This Row],[Kolumna23]]*Tabela54[[#This Row],[Kolumna63]]</f>
        <v>540.540540540541</v>
      </c>
      <c r="AF215" s="120"/>
      <c r="AG215" s="122" t="n">
        <f aca="false">Tabela54[[#This Row],[Kolumna12]]*12</f>
        <v>0</v>
      </c>
      <c r="AH215" s="122" t="n">
        <f aca="false">Tabela54[[#This Row],[Kolumna222]]/1.59</f>
        <v>0</v>
      </c>
      <c r="AI215" s="119" t="n">
        <f aca="false">Tabela54[[#This Row],[Kolumna223]]*Tabela54[[#This Row],[Kolumna63]]</f>
        <v>0</v>
      </c>
      <c r="AJ215" s="119"/>
      <c r="AK215" s="122" t="n">
        <f aca="false">Tabela54[[#This Row],[Kolumna34]]*12</f>
        <v>0</v>
      </c>
      <c r="AL215" s="122" t="n">
        <f aca="false">Tabela54[[#This Row],[Kolumna32]]/4.2</f>
        <v>0</v>
      </c>
      <c r="AM215" s="119" t="n">
        <f aca="false">Tabela54[[#This Row],[Kolumna322]]*Tabela54[[#This Row],[Kolumna63]]</f>
        <v>0</v>
      </c>
      <c r="AN215" s="122"/>
      <c r="AO215" s="122" t="n">
        <f aca="false">Tabela54[[#This Row],[Kolumna5]]*Tabela54[[#This Row],[Kolumna63]]</f>
        <v>0</v>
      </c>
      <c r="AP215" s="53" t="n">
        <v>0.5</v>
      </c>
      <c r="AQ215" s="29"/>
      <c r="AR215" s="29"/>
      <c r="AS215" s="29"/>
      <c r="AT215" s="29"/>
    </row>
    <row r="216" customFormat="false" ht="32.25" hidden="false" customHeight="true" outlineLevel="0" collapsed="false">
      <c r="A216" s="40" t="n">
        <v>209</v>
      </c>
      <c r="B216" s="27" t="s">
        <v>241</v>
      </c>
      <c r="C216" s="49" t="s">
        <v>242</v>
      </c>
      <c r="D216" s="134"/>
      <c r="E216" s="135" t="n">
        <v>80</v>
      </c>
      <c r="F21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374.58615</v>
      </c>
      <c r="G216" s="135"/>
      <c r="H216" s="130"/>
      <c r="I216" s="26" t="n">
        <f aca="false">Tabela43[[#This Row],[Kolumna5]]*20700*0.27778</f>
        <v>0</v>
      </c>
      <c r="J216" s="130"/>
      <c r="K216" s="130"/>
      <c r="L216" s="28" t="n">
        <f aca="false">Tabela43[[#This Row],[Kolumna8]]*0.000843882*40190*0.27778</f>
        <v>0</v>
      </c>
      <c r="M216" s="130"/>
      <c r="N216" s="146" t="n">
        <f aca="false">Tabela43[[#This Row],[Kolumna84]]/2.55</f>
        <v>0</v>
      </c>
      <c r="O216" s="28" t="n">
        <f aca="false">Tabela43[[#This Row],[Kolumna82]]*35.94*0.27778</f>
        <v>0</v>
      </c>
      <c r="P216" s="130"/>
      <c r="Q216" s="130"/>
      <c r="R216" s="130" t="n">
        <v>10</v>
      </c>
      <c r="S216" s="116" t="n">
        <f aca="false">Tabela43[[#This Row],[Kolumna92]]*0.65</f>
        <v>6.5</v>
      </c>
      <c r="T216" s="28" t="n">
        <f aca="false">Tabela43[[#This Row],[Kolumna10]]*15600*0.27778</f>
        <v>28166.892</v>
      </c>
      <c r="U216" s="130"/>
      <c r="V216" s="130"/>
      <c r="W216" s="130"/>
      <c r="X216" s="130" t="n">
        <v>150</v>
      </c>
      <c r="Y216" s="130" t="n">
        <f aca="false">Tabela43[[#This Row],[Kolumna1223]]*12</f>
        <v>1800</v>
      </c>
      <c r="Z216" s="28" t="n">
        <f aca="false">Tabela43[[#This Row],[Kolumna123]]/0.55</f>
        <v>3272.72727272727</v>
      </c>
      <c r="AA216" s="130"/>
      <c r="AB216" s="130"/>
      <c r="AC216" s="125" t="n">
        <f aca="false">Tabela54[[#This Row],[Kolumna22]]*12</f>
        <v>0</v>
      </c>
      <c r="AD216" s="122" t="n">
        <f aca="false">Tabela54[[#This Row],[Kolumna3]]/4.44</f>
        <v>0</v>
      </c>
      <c r="AE216" s="120" t="n">
        <f aca="false">Tabela54[[#This Row],[Kolumna23]]*Tabela54[[#This Row],[Kolumna63]]</f>
        <v>0</v>
      </c>
      <c r="AF216" s="120" t="n">
        <v>200</v>
      </c>
      <c r="AG216" s="122" t="n">
        <f aca="false">Tabela54[[#This Row],[Kolumna12]]*12</f>
        <v>2400</v>
      </c>
      <c r="AH216" s="122" t="n">
        <f aca="false">Tabela54[[#This Row],[Kolumna222]]/1.59</f>
        <v>1509.43396226415</v>
      </c>
      <c r="AI216" s="119" t="n">
        <f aca="false">Tabela54[[#This Row],[Kolumna223]]*Tabela54[[#This Row],[Kolumna63]]</f>
        <v>452.830188679245</v>
      </c>
      <c r="AJ216" s="119"/>
      <c r="AK216" s="122" t="n">
        <f aca="false">Tabela54[[#This Row],[Kolumna34]]*12</f>
        <v>0</v>
      </c>
      <c r="AL216" s="122" t="n">
        <f aca="false">Tabela54[[#This Row],[Kolumna32]]/4.2</f>
        <v>0</v>
      </c>
      <c r="AM216" s="119" t="n">
        <f aca="false">Tabela54[[#This Row],[Kolumna322]]*Tabela54[[#This Row],[Kolumna63]]</f>
        <v>0</v>
      </c>
      <c r="AN216" s="122"/>
      <c r="AO216" s="122" t="n">
        <f aca="false">Tabela54[[#This Row],[Kolumna5]]*Tabela54[[#This Row],[Kolumna63]]</f>
        <v>0</v>
      </c>
      <c r="AP216" s="53" t="n">
        <v>0.3</v>
      </c>
      <c r="AQ216" s="29"/>
      <c r="AR216" s="29"/>
      <c r="AS216" s="29"/>
      <c r="AT216" s="29"/>
    </row>
    <row r="217" customFormat="false" ht="29.25" hidden="false" customHeight="true" outlineLevel="0" collapsed="false">
      <c r="A217" s="25" t="n">
        <v>210</v>
      </c>
      <c r="B217" s="27" t="s">
        <v>241</v>
      </c>
      <c r="C217" s="49" t="s">
        <v>242</v>
      </c>
      <c r="D217" s="134"/>
      <c r="E217" s="135" t="n">
        <v>160</v>
      </c>
      <c r="F21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211.5640725</v>
      </c>
      <c r="G217" s="135"/>
      <c r="H217" s="130" t="n">
        <v>4</v>
      </c>
      <c r="I217" s="26" t="n">
        <f aca="false">Tabela43[[#This Row],[Kolumna5]]*20700*0.27778</f>
        <v>23000.184</v>
      </c>
      <c r="J217" s="130"/>
      <c r="K217" s="130"/>
      <c r="L217" s="28" t="n">
        <f aca="false">Tabela43[[#This Row],[Kolumna8]]*0.000843882*40190*0.27778</f>
        <v>0</v>
      </c>
      <c r="M217" s="130"/>
      <c r="N217" s="146" t="n">
        <f aca="false">Tabela43[[#This Row],[Kolumna84]]/2.55</f>
        <v>0</v>
      </c>
      <c r="O217" s="28" t="n">
        <f aca="false">Tabela43[[#This Row],[Kolumna82]]*35.94*0.27778</f>
        <v>0</v>
      </c>
      <c r="P217" s="130"/>
      <c r="Q217" s="130"/>
      <c r="R217" s="130" t="n">
        <v>3</v>
      </c>
      <c r="S217" s="116" t="n">
        <f aca="false">Tabela43[[#This Row],[Kolumna92]]*0.65</f>
        <v>1.95</v>
      </c>
      <c r="T217" s="28" t="n">
        <f aca="false">Tabela43[[#This Row],[Kolumna10]]*15600*0.27778</f>
        <v>8450.0676</v>
      </c>
      <c r="U217" s="130"/>
      <c r="V217" s="130"/>
      <c r="W217" s="130"/>
      <c r="X217" s="130" t="n">
        <v>200</v>
      </c>
      <c r="Y217" s="130" t="n">
        <f aca="false">Tabela43[[#This Row],[Kolumna1223]]*12</f>
        <v>2400</v>
      </c>
      <c r="Z217" s="28" t="n">
        <f aca="false">Tabela43[[#This Row],[Kolumna123]]/0.55</f>
        <v>4363.63636363636</v>
      </c>
      <c r="AA217" s="130"/>
      <c r="AB217" s="130"/>
      <c r="AC217" s="125" t="n">
        <f aca="false">Tabela54[[#This Row],[Kolumna22]]*12</f>
        <v>0</v>
      </c>
      <c r="AD217" s="122" t="n">
        <f aca="false">Tabela54[[#This Row],[Kolumna3]]/4.44</f>
        <v>0</v>
      </c>
      <c r="AE217" s="120" t="n">
        <f aca="false">Tabela54[[#This Row],[Kolumna23]]*Tabela54[[#This Row],[Kolumna63]]</f>
        <v>0</v>
      </c>
      <c r="AF217" s="120"/>
      <c r="AG217" s="122" t="n">
        <f aca="false">Tabela54[[#This Row],[Kolumna12]]*12</f>
        <v>0</v>
      </c>
      <c r="AH217" s="122" t="n">
        <f aca="false">Tabela54[[#This Row],[Kolumna222]]/1.59</f>
        <v>0</v>
      </c>
      <c r="AI217" s="119" t="n">
        <f aca="false">Tabela54[[#This Row],[Kolumna223]]*Tabela54[[#This Row],[Kolumna63]]</f>
        <v>0</v>
      </c>
      <c r="AJ217" s="119" t="n">
        <v>500</v>
      </c>
      <c r="AK217" s="122" t="n">
        <f aca="false">Tabela54[[#This Row],[Kolumna34]]*12</f>
        <v>6000</v>
      </c>
      <c r="AL217" s="122" t="n">
        <f aca="false">Tabela54[[#This Row],[Kolumna32]]/4.2</f>
        <v>1428.57142857143</v>
      </c>
      <c r="AM217" s="119" t="n">
        <f aca="false">Tabela54[[#This Row],[Kolumna322]]*Tabela54[[#This Row],[Kolumna63]]</f>
        <v>571.428571428571</v>
      </c>
      <c r="AN217" s="122"/>
      <c r="AO217" s="122" t="n">
        <f aca="false">Tabela54[[#This Row],[Kolumna5]]*Tabela54[[#This Row],[Kolumna63]]</f>
        <v>0</v>
      </c>
      <c r="AP217" s="53" t="n">
        <v>0.4</v>
      </c>
      <c r="AQ217" s="29"/>
      <c r="AR217" s="29"/>
      <c r="AS217" s="29"/>
      <c r="AT217" s="29"/>
    </row>
    <row r="218" customFormat="false" ht="30.75" hidden="false" customHeight="true" outlineLevel="0" collapsed="false">
      <c r="A218" s="25" t="n">
        <v>211</v>
      </c>
      <c r="B218" s="27" t="s">
        <v>241</v>
      </c>
      <c r="C218" s="49" t="s">
        <v>242</v>
      </c>
      <c r="D218" s="134"/>
      <c r="E218" s="135" t="n">
        <v>120</v>
      </c>
      <c r="F21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249.7241</v>
      </c>
      <c r="G218" s="135"/>
      <c r="H218" s="130"/>
      <c r="I218" s="26" t="n">
        <f aca="false">Tabela43[[#This Row],[Kolumna5]]*20700*0.27778</f>
        <v>0</v>
      </c>
      <c r="J218" s="130"/>
      <c r="K218" s="130"/>
      <c r="L218" s="28" t="n">
        <f aca="false">Tabela43[[#This Row],[Kolumna8]]*0.000843882*40190*0.27778</f>
        <v>0</v>
      </c>
      <c r="M218" s="130"/>
      <c r="N218" s="146" t="n">
        <f aca="false">Tabela43[[#This Row],[Kolumna84]]/2.55</f>
        <v>0</v>
      </c>
      <c r="O218" s="28" t="n">
        <f aca="false">Tabela43[[#This Row],[Kolumna82]]*35.94*0.27778</f>
        <v>0</v>
      </c>
      <c r="P218" s="130" t="n">
        <v>12</v>
      </c>
      <c r="Q218" s="130"/>
      <c r="R218" s="130" t="n">
        <v>10</v>
      </c>
      <c r="S218" s="116" t="n">
        <f aca="false">Tabela43[[#This Row],[Kolumna92]]*0.65</f>
        <v>6.5</v>
      </c>
      <c r="T218" s="28" t="n">
        <f aca="false">Tabela43[[#This Row],[Kolumna10]]*15600*0.27778</f>
        <v>28166.892</v>
      </c>
      <c r="U218" s="130"/>
      <c r="V218" s="130"/>
      <c r="W218" s="130"/>
      <c r="X218" s="130" t="n">
        <v>150</v>
      </c>
      <c r="Y218" s="130" t="n">
        <f aca="false">Tabela43[[#This Row],[Kolumna1223]]*12</f>
        <v>1800</v>
      </c>
      <c r="Z218" s="28" t="n">
        <f aca="false">Tabela43[[#This Row],[Kolumna123]]/0.55</f>
        <v>3272.72727272727</v>
      </c>
      <c r="AA218" s="130"/>
      <c r="AB218" s="130" t="n">
        <v>150</v>
      </c>
      <c r="AC218" s="125" t="n">
        <f aca="false">Tabela54[[#This Row],[Kolumna22]]*12</f>
        <v>1800</v>
      </c>
      <c r="AD218" s="122" t="n">
        <f aca="false">Tabela54[[#This Row],[Kolumna3]]/4.44</f>
        <v>405.405405405405</v>
      </c>
      <c r="AE218" s="120" t="n">
        <f aca="false">Tabela54[[#This Row],[Kolumna23]]*Tabela54[[#This Row],[Kolumna63]]</f>
        <v>243.243243243243</v>
      </c>
      <c r="AF218" s="120"/>
      <c r="AG218" s="122" t="n">
        <f aca="false">Tabela54[[#This Row],[Kolumna12]]*12</f>
        <v>0</v>
      </c>
      <c r="AH218" s="122" t="n">
        <f aca="false">Tabela54[[#This Row],[Kolumna222]]/1.59</f>
        <v>0</v>
      </c>
      <c r="AI218" s="119" t="n">
        <f aca="false">Tabela54[[#This Row],[Kolumna223]]*Tabela54[[#This Row],[Kolumna63]]</f>
        <v>0</v>
      </c>
      <c r="AJ218" s="119"/>
      <c r="AK218" s="122" t="n">
        <f aca="false">Tabela54[[#This Row],[Kolumna34]]*12</f>
        <v>0</v>
      </c>
      <c r="AL218" s="122" t="n">
        <f aca="false">Tabela54[[#This Row],[Kolumna32]]/4.2</f>
        <v>0</v>
      </c>
      <c r="AM218" s="119" t="n">
        <f aca="false">Tabela54[[#This Row],[Kolumna322]]*Tabela54[[#This Row],[Kolumna63]]</f>
        <v>0</v>
      </c>
      <c r="AN218" s="122"/>
      <c r="AO218" s="122" t="n">
        <f aca="false">Tabela54[[#This Row],[Kolumna5]]*Tabela54[[#This Row],[Kolumna63]]</f>
        <v>0</v>
      </c>
      <c r="AP218" s="53" t="n">
        <v>0.6</v>
      </c>
      <c r="AQ218" s="29"/>
      <c r="AR218" s="29"/>
      <c r="AS218" s="29"/>
      <c r="AT218" s="29"/>
    </row>
    <row r="219" customFormat="false" ht="29.25" hidden="false" customHeight="true" outlineLevel="0" collapsed="false">
      <c r="A219" s="40" t="n">
        <v>212</v>
      </c>
      <c r="B219" s="27" t="s">
        <v>241</v>
      </c>
      <c r="C219" s="49" t="s">
        <v>242</v>
      </c>
      <c r="D219" s="134"/>
      <c r="E219" s="135" t="n">
        <v>80</v>
      </c>
      <c r="F21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194.17788</v>
      </c>
      <c r="G219" s="135"/>
      <c r="H219" s="130"/>
      <c r="I219" s="26" t="n">
        <f aca="false">Tabela43[[#This Row],[Kolumna5]]*20700*0.27778</f>
        <v>0</v>
      </c>
      <c r="J219" s="130"/>
      <c r="K219" s="130"/>
      <c r="L219" s="28" t="n">
        <f aca="false">Tabela43[[#This Row],[Kolumna8]]*0.000843882*40190*0.27778</f>
        <v>0</v>
      </c>
      <c r="M219" s="130" t="n">
        <f aca="false">300*12</f>
        <v>3600</v>
      </c>
      <c r="N219" s="146" t="n">
        <f aca="false">Tabela43[[#This Row],[Kolumna84]]/2.55</f>
        <v>1411.76470588235</v>
      </c>
      <c r="O219" s="28" t="n">
        <f aca="false">Tabela43[[#This Row],[Kolumna82]]*35.94*0.27778</f>
        <v>14094.2304</v>
      </c>
      <c r="P219" s="130"/>
      <c r="Q219" s="130"/>
      <c r="R219" s="130"/>
      <c r="S219" s="116" t="n">
        <f aca="false">Tabela43[[#This Row],[Kolumna92]]*0.65</f>
        <v>0</v>
      </c>
      <c r="T219" s="28" t="n">
        <f aca="false">Tabela43[[#This Row],[Kolumna10]]*15600*0.27778</f>
        <v>0</v>
      </c>
      <c r="U219" s="130"/>
      <c r="V219" s="130"/>
      <c r="W219" s="130"/>
      <c r="X219" s="130" t="n">
        <v>120</v>
      </c>
      <c r="Y219" s="130" t="n">
        <f aca="false">Tabela43[[#This Row],[Kolumna1223]]*12</f>
        <v>1440</v>
      </c>
      <c r="Z219" s="28" t="n">
        <f aca="false">Tabela43[[#This Row],[Kolumna123]]/0.55</f>
        <v>2618.18181818182</v>
      </c>
      <c r="AA219" s="130"/>
      <c r="AB219" s="130"/>
      <c r="AC219" s="125" t="n">
        <f aca="false">Tabela54[[#This Row],[Kolumna22]]*12</f>
        <v>0</v>
      </c>
      <c r="AD219" s="122" t="n">
        <f aca="false">Tabela54[[#This Row],[Kolumna3]]/4.44</f>
        <v>0</v>
      </c>
      <c r="AE219" s="120" t="n">
        <f aca="false">Tabela54[[#This Row],[Kolumna23]]*Tabela54[[#This Row],[Kolumna63]]</f>
        <v>0</v>
      </c>
      <c r="AF219" s="120"/>
      <c r="AG219" s="122" t="n">
        <f aca="false">Tabela54[[#This Row],[Kolumna12]]*12</f>
        <v>0</v>
      </c>
      <c r="AH219" s="122" t="n">
        <f aca="false">Tabela54[[#This Row],[Kolumna222]]/1.59</f>
        <v>0</v>
      </c>
      <c r="AI219" s="119" t="n">
        <f aca="false">Tabela54[[#This Row],[Kolumna223]]*Tabela54[[#This Row],[Kolumna63]]</f>
        <v>0</v>
      </c>
      <c r="AJ219" s="119" t="n">
        <v>400</v>
      </c>
      <c r="AK219" s="122" t="n">
        <f aca="false">Tabela54[[#This Row],[Kolumna34]]*12</f>
        <v>4800</v>
      </c>
      <c r="AL219" s="122" t="n">
        <f aca="false">Tabela54[[#This Row],[Kolumna32]]/4.2</f>
        <v>1142.85714285714</v>
      </c>
      <c r="AM219" s="119" t="n">
        <f aca="false">Tabela54[[#This Row],[Kolumna322]]*Tabela54[[#This Row],[Kolumna63]]</f>
        <v>571.428571428571</v>
      </c>
      <c r="AN219" s="122"/>
      <c r="AO219" s="122" t="n">
        <f aca="false">Tabela54[[#This Row],[Kolumna5]]*Tabela54[[#This Row],[Kolumna63]]</f>
        <v>0</v>
      </c>
      <c r="AP219" s="53" t="n">
        <v>0.5</v>
      </c>
      <c r="AQ219" s="29"/>
      <c r="AR219" s="29"/>
      <c r="AS219" s="29"/>
      <c r="AT219" s="29"/>
    </row>
    <row r="220" customFormat="false" ht="27" hidden="false" customHeight="true" outlineLevel="0" collapsed="false">
      <c r="A220" s="25" t="n">
        <v>213</v>
      </c>
      <c r="B220" s="27" t="s">
        <v>241</v>
      </c>
      <c r="C220" s="49" t="s">
        <v>242</v>
      </c>
      <c r="D220" s="134"/>
      <c r="E220" s="135" t="n">
        <v>42</v>
      </c>
      <c r="F22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587.9408</v>
      </c>
      <c r="G220" s="135"/>
      <c r="H220" s="130"/>
      <c r="I220" s="26" t="n">
        <f aca="false">Tabela43[[#This Row],[Kolumna5]]*20700*0.27778</f>
        <v>0</v>
      </c>
      <c r="J220" s="130"/>
      <c r="K220" s="130"/>
      <c r="L220" s="28" t="n">
        <f aca="false">Tabela43[[#This Row],[Kolumna8]]*0.000843882*40190*0.27778</f>
        <v>0</v>
      </c>
      <c r="M220" s="130"/>
      <c r="N220" s="146" t="n">
        <f aca="false">Tabela43[[#This Row],[Kolumna84]]/2.55</f>
        <v>0</v>
      </c>
      <c r="O220" s="28" t="n">
        <f aca="false">Tabela43[[#This Row],[Kolumna82]]*35.94*0.27778</f>
        <v>0</v>
      </c>
      <c r="P220" s="130" t="n">
        <v>6</v>
      </c>
      <c r="Q220" s="130"/>
      <c r="R220" s="130" t="n">
        <v>8</v>
      </c>
      <c r="S220" s="116" t="n">
        <f aca="false">Tabela43[[#This Row],[Kolumna92]]*0.65</f>
        <v>5.2</v>
      </c>
      <c r="T220" s="28" t="n">
        <f aca="false">Tabela43[[#This Row],[Kolumna10]]*15600*0.27778</f>
        <v>22533.5136</v>
      </c>
      <c r="U220" s="130"/>
      <c r="V220" s="130"/>
      <c r="W220" s="130"/>
      <c r="X220" s="130" t="n">
        <v>180</v>
      </c>
      <c r="Y220" s="130" t="n">
        <f aca="false">Tabela43[[#This Row],[Kolumna1223]]*12</f>
        <v>2160</v>
      </c>
      <c r="Z220" s="28" t="n">
        <f aca="false">Tabela43[[#This Row],[Kolumna123]]/0.55</f>
        <v>3927.27272727273</v>
      </c>
      <c r="AA220" s="130"/>
      <c r="AB220" s="130" t="n">
        <v>200</v>
      </c>
      <c r="AC220" s="125" t="n">
        <f aca="false">Tabela54[[#This Row],[Kolumna22]]*12</f>
        <v>2400</v>
      </c>
      <c r="AD220" s="122" t="n">
        <f aca="false">Tabela54[[#This Row],[Kolumna3]]/4.44</f>
        <v>540.540540540541</v>
      </c>
      <c r="AE220" s="120" t="n">
        <f aca="false">Tabela54[[#This Row],[Kolumna23]]*Tabela54[[#This Row],[Kolumna63]]</f>
        <v>216.216216216216</v>
      </c>
      <c r="AF220" s="120" t="n">
        <v>200</v>
      </c>
      <c r="AG220" s="122" t="n">
        <f aca="false">Tabela54[[#This Row],[Kolumna12]]*12</f>
        <v>2400</v>
      </c>
      <c r="AH220" s="122" t="n">
        <f aca="false">Tabela54[[#This Row],[Kolumna222]]/1.59</f>
        <v>1509.43396226415</v>
      </c>
      <c r="AI220" s="119" t="n">
        <f aca="false">Tabela54[[#This Row],[Kolumna223]]*Tabela54[[#This Row],[Kolumna63]]</f>
        <v>603.77358490566</v>
      </c>
      <c r="AJ220" s="119"/>
      <c r="AK220" s="122" t="n">
        <f aca="false">Tabela54[[#This Row],[Kolumna34]]*12</f>
        <v>0</v>
      </c>
      <c r="AL220" s="122" t="n">
        <f aca="false">Tabela54[[#This Row],[Kolumna32]]/4.2</f>
        <v>0</v>
      </c>
      <c r="AM220" s="119" t="n">
        <f aca="false">Tabela54[[#This Row],[Kolumna322]]*Tabela54[[#This Row],[Kolumna63]]</f>
        <v>0</v>
      </c>
      <c r="AN220" s="122"/>
      <c r="AO220" s="122" t="n">
        <f aca="false">Tabela54[[#This Row],[Kolumna5]]*Tabela54[[#This Row],[Kolumna63]]</f>
        <v>0</v>
      </c>
      <c r="AP220" s="53" t="n">
        <v>0.4</v>
      </c>
      <c r="AQ220" s="29"/>
      <c r="AR220" s="29"/>
      <c r="AS220" s="29"/>
      <c r="AT220" s="29"/>
    </row>
    <row r="221" customFormat="false" ht="30.75" hidden="false" customHeight="true" outlineLevel="0" collapsed="false">
      <c r="A221" s="25" t="n">
        <v>214</v>
      </c>
      <c r="B221" s="27" t="s">
        <v>241</v>
      </c>
      <c r="C221" s="49" t="s">
        <v>242</v>
      </c>
      <c r="D221" s="134"/>
      <c r="E221" s="135" t="n">
        <v>90</v>
      </c>
      <c r="F22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388.891893333333</v>
      </c>
      <c r="G221" s="135"/>
      <c r="H221" s="130"/>
      <c r="I221" s="26" t="n">
        <f aca="false">Tabela43[[#This Row],[Kolumna5]]*20700*0.27778</f>
        <v>0</v>
      </c>
      <c r="J221" s="130"/>
      <c r="K221" s="130"/>
      <c r="L221" s="28" t="n">
        <f aca="false">Tabela43[[#This Row],[Kolumna8]]*0.000843882*40190*0.27778</f>
        <v>0</v>
      </c>
      <c r="M221" s="130"/>
      <c r="N221" s="146" t="n">
        <f aca="false">Tabela43[[#This Row],[Kolumna84]]/2.55</f>
        <v>0</v>
      </c>
      <c r="O221" s="28" t="n">
        <f aca="false">Tabela43[[#This Row],[Kolumna82]]*35.94*0.27778</f>
        <v>0</v>
      </c>
      <c r="P221" s="130"/>
      <c r="Q221" s="130"/>
      <c r="R221" s="130" t="n">
        <v>12</v>
      </c>
      <c r="S221" s="116" t="n">
        <f aca="false">Tabela43[[#This Row],[Kolumna92]]*0.65</f>
        <v>7.8</v>
      </c>
      <c r="T221" s="28" t="n">
        <f aca="false">Tabela43[[#This Row],[Kolumna10]]*15600*0.27778</f>
        <v>33800.2704</v>
      </c>
      <c r="U221" s="130"/>
      <c r="V221" s="130"/>
      <c r="W221" s="130"/>
      <c r="X221" s="130" t="n">
        <v>100</v>
      </c>
      <c r="Y221" s="130" t="n">
        <f aca="false">Tabela43[[#This Row],[Kolumna1223]]*12</f>
        <v>1200</v>
      </c>
      <c r="Z221" s="28" t="n">
        <f aca="false">Tabela43[[#This Row],[Kolumna123]]/0.55</f>
        <v>2181.81818181818</v>
      </c>
      <c r="AA221" s="130"/>
      <c r="AB221" s="130"/>
      <c r="AC221" s="125" t="n">
        <f aca="false">Tabela54[[#This Row],[Kolumna22]]*12</f>
        <v>0</v>
      </c>
      <c r="AD221" s="122" t="n">
        <f aca="false">Tabela54[[#This Row],[Kolumna3]]/4.44</f>
        <v>0</v>
      </c>
      <c r="AE221" s="120" t="n">
        <f aca="false">Tabela54[[#This Row],[Kolumna23]]*Tabela54[[#This Row],[Kolumna63]]</f>
        <v>0</v>
      </c>
      <c r="AF221" s="120"/>
      <c r="AG221" s="122" t="n">
        <f aca="false">Tabela54[[#This Row],[Kolumna12]]*12</f>
        <v>0</v>
      </c>
      <c r="AH221" s="122" t="n">
        <f aca="false">Tabela54[[#This Row],[Kolumna222]]/1.59</f>
        <v>0</v>
      </c>
      <c r="AI221" s="119" t="n">
        <f aca="false">Tabela54[[#This Row],[Kolumna223]]*Tabela54[[#This Row],[Kolumna63]]</f>
        <v>0</v>
      </c>
      <c r="AJ221" s="119" t="n">
        <v>200</v>
      </c>
      <c r="AK221" s="122" t="n">
        <f aca="false">Tabela54[[#This Row],[Kolumna34]]*12</f>
        <v>2400</v>
      </c>
      <c r="AL221" s="122" t="n">
        <f aca="false">Tabela54[[#This Row],[Kolumna32]]/4.2</f>
        <v>571.428571428571</v>
      </c>
      <c r="AM221" s="119" t="n">
        <f aca="false">Tabela54[[#This Row],[Kolumna322]]*Tabela54[[#This Row],[Kolumna63]]</f>
        <v>171.428571428571</v>
      </c>
      <c r="AN221" s="122"/>
      <c r="AO221" s="122" t="n">
        <f aca="false">Tabela54[[#This Row],[Kolumna5]]*Tabela54[[#This Row],[Kolumna63]]</f>
        <v>0</v>
      </c>
      <c r="AP221" s="53" t="n">
        <v>0.3</v>
      </c>
      <c r="AQ221" s="29"/>
      <c r="AR221" s="29"/>
      <c r="AS221" s="29"/>
      <c r="AT221" s="29"/>
    </row>
    <row r="222" customFormat="false" ht="30" hidden="false" customHeight="true" outlineLevel="0" collapsed="false">
      <c r="A222" s="40" t="n">
        <v>215</v>
      </c>
      <c r="B222" s="27" t="s">
        <v>241</v>
      </c>
      <c r="C222" s="49" t="s">
        <v>242</v>
      </c>
      <c r="D222" s="134"/>
      <c r="E222" s="135" t="n">
        <v>120</v>
      </c>
      <c r="F22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135.3766</v>
      </c>
      <c r="G222" s="135"/>
      <c r="H222" s="130"/>
      <c r="I222" s="26" t="n">
        <f aca="false">Tabela43[[#This Row],[Kolumna5]]*20700*0.27778</f>
        <v>0</v>
      </c>
      <c r="J222" s="130"/>
      <c r="K222" s="130"/>
      <c r="L222" s="28" t="n">
        <f aca="false">Tabela43[[#This Row],[Kolumna8]]*0.000843882*40190*0.27778</f>
        <v>0</v>
      </c>
      <c r="M222" s="130" t="n">
        <f aca="false">500*6</f>
        <v>3000</v>
      </c>
      <c r="N222" s="146" t="n">
        <f aca="false">Tabela43[[#This Row],[Kolumna84]]/2.55</f>
        <v>1176.47058823529</v>
      </c>
      <c r="O222" s="28" t="n">
        <f aca="false">Tabela43[[#This Row],[Kolumna82]]*35.94*0.27778</f>
        <v>11745.192</v>
      </c>
      <c r="P222" s="130"/>
      <c r="Q222" s="130"/>
      <c r="R222" s="130"/>
      <c r="S222" s="116" t="n">
        <f aca="false">Tabela43[[#This Row],[Kolumna92]]*0.65</f>
        <v>0</v>
      </c>
      <c r="T222" s="28" t="n">
        <f aca="false">Tabela43[[#This Row],[Kolumna10]]*15600*0.27778</f>
        <v>0</v>
      </c>
      <c r="U222" s="130" t="n">
        <v>2700</v>
      </c>
      <c r="V222" s="130"/>
      <c r="W222" s="130"/>
      <c r="X222" s="130" t="n">
        <v>150</v>
      </c>
      <c r="Y222" s="130" t="n">
        <f aca="false">Tabela43[[#This Row],[Kolumna1223]]*12</f>
        <v>1800</v>
      </c>
      <c r="Z222" s="28" t="n">
        <f aca="false">Tabela43[[#This Row],[Kolumna123]]/0.55</f>
        <v>3272.72727272727</v>
      </c>
      <c r="AA222" s="130"/>
      <c r="AB222" s="130" t="n">
        <v>400</v>
      </c>
      <c r="AC222" s="125" t="n">
        <f aca="false">Tabela54[[#This Row],[Kolumna22]]*12</f>
        <v>4800</v>
      </c>
      <c r="AD222" s="122" t="n">
        <f aca="false">Tabela54[[#This Row],[Kolumna3]]/4.44</f>
        <v>1081.08108108108</v>
      </c>
      <c r="AE222" s="120" t="n">
        <f aca="false">Tabela54[[#This Row],[Kolumna23]]*Tabela54[[#This Row],[Kolumna63]]</f>
        <v>216.216216216216</v>
      </c>
      <c r="AF222" s="120"/>
      <c r="AG222" s="122" t="n">
        <f aca="false">Tabela54[[#This Row],[Kolumna12]]*12</f>
        <v>0</v>
      </c>
      <c r="AH222" s="122" t="n">
        <f aca="false">Tabela54[[#This Row],[Kolumna222]]/1.59</f>
        <v>0</v>
      </c>
      <c r="AI222" s="119" t="n">
        <f aca="false">Tabela54[[#This Row],[Kolumna223]]*Tabela54[[#This Row],[Kolumna63]]</f>
        <v>0</v>
      </c>
      <c r="AJ222" s="119"/>
      <c r="AK222" s="122" t="n">
        <f aca="false">Tabela54[[#This Row],[Kolumna34]]*12</f>
        <v>0</v>
      </c>
      <c r="AL222" s="122" t="n">
        <f aca="false">Tabela54[[#This Row],[Kolumna32]]/4.2</f>
        <v>0</v>
      </c>
      <c r="AM222" s="119" t="n">
        <f aca="false">Tabela54[[#This Row],[Kolumna322]]*Tabela54[[#This Row],[Kolumna63]]</f>
        <v>0</v>
      </c>
      <c r="AN222" s="122"/>
      <c r="AO222" s="122" t="n">
        <f aca="false">Tabela54[[#This Row],[Kolumna5]]*Tabela54[[#This Row],[Kolumna63]]</f>
        <v>0</v>
      </c>
      <c r="AP222" s="53" t="n">
        <v>0.2</v>
      </c>
      <c r="AQ222" s="29"/>
      <c r="AR222" s="29"/>
      <c r="AS222" s="29"/>
      <c r="AT222" s="29"/>
    </row>
    <row r="223" customFormat="false" ht="29.25" hidden="false" customHeight="true" outlineLevel="0" collapsed="false">
      <c r="A223" s="25" t="n">
        <v>216</v>
      </c>
      <c r="B223" s="27" t="s">
        <v>241</v>
      </c>
      <c r="C223" s="49" t="s">
        <v>242</v>
      </c>
      <c r="D223" s="134"/>
      <c r="E223" s="135" t="n">
        <v>70</v>
      </c>
      <c r="F22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190.074171428571</v>
      </c>
      <c r="G223" s="135"/>
      <c r="H223" s="130"/>
      <c r="I223" s="26" t="n">
        <f aca="false">Tabela43[[#This Row],[Kolumna5]]*20700*0.27778</f>
        <v>0</v>
      </c>
      <c r="J223" s="130"/>
      <c r="K223" s="130"/>
      <c r="L223" s="28" t="n">
        <f aca="false">Tabela43[[#This Row],[Kolumna8]]*0.000843882*40190*0.27778</f>
        <v>0</v>
      </c>
      <c r="M223" s="130" t="n">
        <f aca="false">250*12</f>
        <v>3000</v>
      </c>
      <c r="N223" s="146" t="n">
        <f aca="false">Tabela43[[#This Row],[Kolumna84]]/2.55</f>
        <v>1176.47058823529</v>
      </c>
      <c r="O223" s="28" t="n">
        <f aca="false">Tabela43[[#This Row],[Kolumna82]]*35.94*0.27778</f>
        <v>11745.192</v>
      </c>
      <c r="P223" s="130"/>
      <c r="Q223" s="130"/>
      <c r="R223" s="130"/>
      <c r="S223" s="116" t="n">
        <f aca="false">Tabela43[[#This Row],[Kolumna92]]*0.65</f>
        <v>0</v>
      </c>
      <c r="T223" s="28" t="n">
        <f aca="false">Tabela43[[#This Row],[Kolumna10]]*15600*0.27778</f>
        <v>0</v>
      </c>
      <c r="U223" s="130"/>
      <c r="V223" s="130"/>
      <c r="W223" s="130"/>
      <c r="X223" s="130" t="n">
        <v>130</v>
      </c>
      <c r="Y223" s="130" t="n">
        <f aca="false">Tabela43[[#This Row],[Kolumna1223]]*12</f>
        <v>1560</v>
      </c>
      <c r="Z223" s="28" t="n">
        <f aca="false">Tabela43[[#This Row],[Kolumna123]]/0.55</f>
        <v>2836.36363636364</v>
      </c>
      <c r="AA223" s="130"/>
      <c r="AB223" s="130"/>
      <c r="AC223" s="125" t="n">
        <f aca="false">Tabela54[[#This Row],[Kolumna22]]*12</f>
        <v>0</v>
      </c>
      <c r="AD223" s="122" t="n">
        <f aca="false">Tabela54[[#This Row],[Kolumna3]]/4.44</f>
        <v>0</v>
      </c>
      <c r="AE223" s="120" t="n">
        <f aca="false">Tabela54[[#This Row],[Kolumna23]]*Tabela54[[#This Row],[Kolumna63]]</f>
        <v>0</v>
      </c>
      <c r="AF223" s="120" t="n">
        <v>200</v>
      </c>
      <c r="AG223" s="122" t="n">
        <f aca="false">Tabela54[[#This Row],[Kolumna12]]*12</f>
        <v>2400</v>
      </c>
      <c r="AH223" s="122" t="n">
        <f aca="false">Tabela54[[#This Row],[Kolumna222]]/1.59</f>
        <v>1509.43396226415</v>
      </c>
      <c r="AI223" s="119" t="n">
        <f aca="false">Tabela54[[#This Row],[Kolumna223]]*Tabela54[[#This Row],[Kolumna63]]</f>
        <v>754.716981132076</v>
      </c>
      <c r="AJ223" s="119"/>
      <c r="AK223" s="122" t="n">
        <f aca="false">Tabela54[[#This Row],[Kolumna34]]*12</f>
        <v>0</v>
      </c>
      <c r="AL223" s="122" t="n">
        <f aca="false">Tabela54[[#This Row],[Kolumna32]]/4.2</f>
        <v>0</v>
      </c>
      <c r="AM223" s="119" t="n">
        <f aca="false">Tabela54[[#This Row],[Kolumna322]]*Tabela54[[#This Row],[Kolumna63]]</f>
        <v>0</v>
      </c>
      <c r="AN223" s="122"/>
      <c r="AO223" s="122" t="n">
        <f aca="false">Tabela54[[#This Row],[Kolumna5]]*Tabela54[[#This Row],[Kolumna63]]</f>
        <v>0</v>
      </c>
      <c r="AP223" s="53" t="n">
        <v>0.5</v>
      </c>
      <c r="AQ223" s="29"/>
      <c r="AR223" s="29"/>
      <c r="AS223" s="29"/>
      <c r="AT223" s="29"/>
    </row>
    <row r="224" customFormat="false" ht="36.75" hidden="false" customHeight="true" outlineLevel="0" collapsed="false">
      <c r="A224" s="25" t="n">
        <v>217</v>
      </c>
      <c r="B224" s="27" t="s">
        <v>241</v>
      </c>
      <c r="C224" s="49" t="s">
        <v>242</v>
      </c>
      <c r="D224" s="134"/>
      <c r="E224" s="135" t="n">
        <v>160</v>
      </c>
      <c r="F22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279.0646125</v>
      </c>
      <c r="G224" s="135"/>
      <c r="H224" s="130"/>
      <c r="I224" s="26" t="n">
        <f aca="false">Tabela43[[#This Row],[Kolumna5]]*20700*0.27778</f>
        <v>0</v>
      </c>
      <c r="J224" s="130"/>
      <c r="K224" s="130"/>
      <c r="L224" s="28" t="n">
        <f aca="false">Tabela43[[#This Row],[Kolumna8]]*0.000843882*40190*0.27778</f>
        <v>0</v>
      </c>
      <c r="M224" s="130"/>
      <c r="N224" s="146" t="n">
        <f aca="false">Tabela43[[#This Row],[Kolumna84]]/2.55</f>
        <v>0</v>
      </c>
      <c r="O224" s="28" t="n">
        <f aca="false">Tabela43[[#This Row],[Kolumna82]]*35.94*0.27778</f>
        <v>0</v>
      </c>
      <c r="P224" s="130"/>
      <c r="Q224" s="130"/>
      <c r="R224" s="130" t="n">
        <v>15</v>
      </c>
      <c r="S224" s="116" t="n">
        <f aca="false">Tabela43[[#This Row],[Kolumna92]]*0.65</f>
        <v>9.75</v>
      </c>
      <c r="T224" s="28" t="n">
        <f aca="false">Tabela43[[#This Row],[Kolumna10]]*15600*0.27778</f>
        <v>42250.338</v>
      </c>
      <c r="U224" s="130"/>
      <c r="V224" s="130"/>
      <c r="W224" s="130"/>
      <c r="X224" s="130" t="n">
        <v>200</v>
      </c>
      <c r="Y224" s="130" t="n">
        <f aca="false">Tabela43[[#This Row],[Kolumna1223]]*12</f>
        <v>2400</v>
      </c>
      <c r="Z224" s="28" t="n">
        <f aca="false">Tabela43[[#This Row],[Kolumna123]]/0.55</f>
        <v>4363.63636363636</v>
      </c>
      <c r="AA224" s="130"/>
      <c r="AB224" s="130" t="n">
        <v>500</v>
      </c>
      <c r="AC224" s="125" t="n">
        <f aca="false">Tabela54[[#This Row],[Kolumna22]]*12</f>
        <v>6000</v>
      </c>
      <c r="AD224" s="122" t="n">
        <f aca="false">Tabela54[[#This Row],[Kolumna3]]/4.44</f>
        <v>1351.35135135135</v>
      </c>
      <c r="AE224" s="120" t="n">
        <f aca="false">Tabela54[[#This Row],[Kolumna23]]*Tabela54[[#This Row],[Kolumna63]]</f>
        <v>675.675675675676</v>
      </c>
      <c r="AF224" s="120"/>
      <c r="AG224" s="122" t="n">
        <f aca="false">Tabela54[[#This Row],[Kolumna12]]*12</f>
        <v>0</v>
      </c>
      <c r="AH224" s="122" t="n">
        <f aca="false">Tabela54[[#This Row],[Kolumna222]]/1.59</f>
        <v>0</v>
      </c>
      <c r="AI224" s="119" t="n">
        <f aca="false">Tabela54[[#This Row],[Kolumna223]]*Tabela54[[#This Row],[Kolumna63]]</f>
        <v>0</v>
      </c>
      <c r="AJ224" s="119"/>
      <c r="AK224" s="122" t="n">
        <f aca="false">Tabela54[[#This Row],[Kolumna34]]*12</f>
        <v>0</v>
      </c>
      <c r="AL224" s="122" t="n">
        <f aca="false">Tabela54[[#This Row],[Kolumna32]]/4.2</f>
        <v>0</v>
      </c>
      <c r="AM224" s="119" t="n">
        <f aca="false">Tabela54[[#This Row],[Kolumna322]]*Tabela54[[#This Row],[Kolumna63]]</f>
        <v>0</v>
      </c>
      <c r="AN224" s="122"/>
      <c r="AO224" s="122" t="n">
        <f aca="false">Tabela54[[#This Row],[Kolumna5]]*Tabela54[[#This Row],[Kolumna63]]</f>
        <v>0</v>
      </c>
      <c r="AP224" s="53" t="n">
        <v>0.5</v>
      </c>
      <c r="AQ224" s="29"/>
      <c r="AR224" s="29"/>
      <c r="AS224" s="29"/>
      <c r="AT224" s="29"/>
    </row>
    <row r="225" customFormat="false" ht="28.5" hidden="false" customHeight="true" outlineLevel="0" collapsed="false">
      <c r="A225" s="40" t="n">
        <v>218</v>
      </c>
      <c r="B225" s="27" t="s">
        <v>241</v>
      </c>
      <c r="C225" s="49" t="s">
        <v>242</v>
      </c>
      <c r="D225" s="134"/>
      <c r="E225" s="135" t="n">
        <v>160</v>
      </c>
      <c r="F22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188.75142</v>
      </c>
      <c r="G225" s="135"/>
      <c r="H225" s="130" t="n">
        <v>2</v>
      </c>
      <c r="I225" s="26" t="n">
        <f aca="false">Tabela43[[#This Row],[Kolumna5]]*20700*0.27778</f>
        <v>11500.092</v>
      </c>
      <c r="J225" s="130"/>
      <c r="K225" s="130"/>
      <c r="L225" s="28" t="n">
        <f aca="false">Tabela43[[#This Row],[Kolumna8]]*0.000843882*40190*0.27778</f>
        <v>0</v>
      </c>
      <c r="M225" s="130"/>
      <c r="N225" s="146" t="n">
        <f aca="false">Tabela43[[#This Row],[Kolumna84]]/2.55</f>
        <v>0</v>
      </c>
      <c r="O225" s="28" t="n">
        <f aca="false">Tabela43[[#This Row],[Kolumna82]]*35.94*0.27778</f>
        <v>0</v>
      </c>
      <c r="P225" s="130"/>
      <c r="Q225" s="130"/>
      <c r="R225" s="130" t="n">
        <v>6</v>
      </c>
      <c r="S225" s="116" t="n">
        <f aca="false">Tabela43[[#This Row],[Kolumna92]]*0.65</f>
        <v>3.9</v>
      </c>
      <c r="T225" s="28" t="n">
        <f aca="false">Tabela43[[#This Row],[Kolumna10]]*15600*0.27778</f>
        <v>16900.1352</v>
      </c>
      <c r="U225" s="130"/>
      <c r="V225" s="130"/>
      <c r="W225" s="130"/>
      <c r="X225" s="130" t="n">
        <v>150</v>
      </c>
      <c r="Y225" s="130" t="n">
        <f aca="false">Tabela43[[#This Row],[Kolumna1223]]*12</f>
        <v>1800</v>
      </c>
      <c r="Z225" s="28" t="n">
        <f aca="false">Tabela43[[#This Row],[Kolumna123]]/0.55</f>
        <v>3272.72727272727</v>
      </c>
      <c r="AA225" s="130"/>
      <c r="AB225" s="130" t="n">
        <v>100</v>
      </c>
      <c r="AC225" s="125" t="n">
        <f aca="false">Tabela54[[#This Row],[Kolumna22]]*12</f>
        <v>1200</v>
      </c>
      <c r="AD225" s="122" t="n">
        <f aca="false">Tabela54[[#This Row],[Kolumna3]]/4.44</f>
        <v>270.27027027027</v>
      </c>
      <c r="AE225" s="120" t="n">
        <f aca="false">Tabela54[[#This Row],[Kolumna23]]*Tabela54[[#This Row],[Kolumna63]]</f>
        <v>162.162162162162</v>
      </c>
      <c r="AF225" s="120"/>
      <c r="AG225" s="122" t="n">
        <f aca="false">Tabela54[[#This Row],[Kolumna12]]*12</f>
        <v>0</v>
      </c>
      <c r="AH225" s="122" t="n">
        <f aca="false">Tabela54[[#This Row],[Kolumna222]]/1.59</f>
        <v>0</v>
      </c>
      <c r="AI225" s="119" t="n">
        <f aca="false">Tabela54[[#This Row],[Kolumna223]]*Tabela54[[#This Row],[Kolumna63]]</f>
        <v>0</v>
      </c>
      <c r="AJ225" s="119"/>
      <c r="AK225" s="122" t="n">
        <f aca="false">Tabela54[[#This Row],[Kolumna34]]*12</f>
        <v>0</v>
      </c>
      <c r="AL225" s="122" t="n">
        <f aca="false">Tabela54[[#This Row],[Kolumna32]]/4.2</f>
        <v>0</v>
      </c>
      <c r="AM225" s="119" t="n">
        <f aca="false">Tabela54[[#This Row],[Kolumna322]]*Tabela54[[#This Row],[Kolumna63]]</f>
        <v>0</v>
      </c>
      <c r="AN225" s="122"/>
      <c r="AO225" s="122" t="n">
        <f aca="false">Tabela54[[#This Row],[Kolumna5]]*Tabela54[[#This Row],[Kolumna63]]</f>
        <v>0</v>
      </c>
      <c r="AP225" s="53" t="n">
        <v>0.6</v>
      </c>
      <c r="AQ225" s="29"/>
      <c r="AR225" s="29"/>
      <c r="AS225" s="29"/>
      <c r="AT225" s="29"/>
    </row>
    <row r="226" customFormat="false" ht="30" hidden="false" customHeight="true" outlineLevel="0" collapsed="false">
      <c r="A226" s="25" t="n">
        <v>219</v>
      </c>
      <c r="B226" s="27" t="s">
        <v>241</v>
      </c>
      <c r="C226" s="49" t="s">
        <v>242</v>
      </c>
      <c r="D226" s="134"/>
      <c r="E226" s="135" t="n">
        <v>80</v>
      </c>
      <c r="F22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445.00338</v>
      </c>
      <c r="G226" s="135"/>
      <c r="H226" s="130"/>
      <c r="I226" s="26" t="n">
        <f aca="false">Tabela43[[#This Row],[Kolumna5]]*20700*0.27778</f>
        <v>0</v>
      </c>
      <c r="J226" s="130"/>
      <c r="K226" s="130"/>
      <c r="L226" s="28" t="n">
        <f aca="false">Tabela43[[#This Row],[Kolumna8]]*0.000843882*40190*0.27778</f>
        <v>0</v>
      </c>
      <c r="M226" s="130"/>
      <c r="N226" s="146" t="n">
        <f aca="false">Tabela43[[#This Row],[Kolumna84]]/2.55</f>
        <v>0</v>
      </c>
      <c r="O226" s="28" t="n">
        <f aca="false">Tabela43[[#This Row],[Kolumna82]]*35.94*0.27778</f>
        <v>0</v>
      </c>
      <c r="P226" s="130" t="n">
        <v>7</v>
      </c>
      <c r="Q226" s="130"/>
      <c r="R226" s="130" t="n">
        <v>12</v>
      </c>
      <c r="S226" s="116" t="n">
        <f aca="false">Tabela43[[#This Row],[Kolumna92]]*0.65</f>
        <v>7.8</v>
      </c>
      <c r="T226" s="28" t="n">
        <f aca="false">Tabela43[[#This Row],[Kolumna10]]*15600*0.27778</f>
        <v>33800.2704</v>
      </c>
      <c r="U226" s="130"/>
      <c r="V226" s="130"/>
      <c r="W226" s="130"/>
      <c r="X226" s="130" t="n">
        <v>150</v>
      </c>
      <c r="Y226" s="130" t="n">
        <f aca="false">Tabela43[[#This Row],[Kolumna1223]]*12</f>
        <v>1800</v>
      </c>
      <c r="Z226" s="28" t="n">
        <f aca="false">Tabela43[[#This Row],[Kolumna123]]/0.55</f>
        <v>3272.72727272727</v>
      </c>
      <c r="AA226" s="130"/>
      <c r="AB226" s="130" t="n">
        <v>200</v>
      </c>
      <c r="AC226" s="125" t="n">
        <f aca="false">Tabela54[[#This Row],[Kolumna22]]*12</f>
        <v>2400</v>
      </c>
      <c r="AD226" s="122" t="n">
        <f aca="false">Tabela54[[#This Row],[Kolumna3]]/4.44</f>
        <v>540.540540540541</v>
      </c>
      <c r="AE226" s="120" t="n">
        <f aca="false">Tabela54[[#This Row],[Kolumna23]]*Tabela54[[#This Row],[Kolumna63]]</f>
        <v>216.216216216216</v>
      </c>
      <c r="AF226" s="120"/>
      <c r="AG226" s="122" t="n">
        <f aca="false">Tabela54[[#This Row],[Kolumna12]]*12</f>
        <v>0</v>
      </c>
      <c r="AH226" s="122" t="n">
        <f aca="false">Tabela54[[#This Row],[Kolumna222]]/1.59</f>
        <v>0</v>
      </c>
      <c r="AI226" s="119" t="n">
        <f aca="false">Tabela54[[#This Row],[Kolumna223]]*Tabela54[[#This Row],[Kolumna63]]</f>
        <v>0</v>
      </c>
      <c r="AJ226" s="119"/>
      <c r="AK226" s="122" t="n">
        <f aca="false">Tabela54[[#This Row],[Kolumna34]]*12</f>
        <v>0</v>
      </c>
      <c r="AL226" s="122" t="n">
        <f aca="false">Tabela54[[#This Row],[Kolumna32]]/4.2</f>
        <v>0</v>
      </c>
      <c r="AM226" s="119" t="n">
        <f aca="false">Tabela54[[#This Row],[Kolumna322]]*Tabela54[[#This Row],[Kolumna63]]</f>
        <v>0</v>
      </c>
      <c r="AN226" s="122"/>
      <c r="AO226" s="122" t="n">
        <f aca="false">Tabela54[[#This Row],[Kolumna5]]*Tabela54[[#This Row],[Kolumna63]]</f>
        <v>0</v>
      </c>
      <c r="AP226" s="53" t="n">
        <v>0.4</v>
      </c>
      <c r="AQ226" s="29"/>
      <c r="AR226" s="29"/>
      <c r="AS226" s="29"/>
      <c r="AT226" s="29"/>
    </row>
    <row r="227" customFormat="false" ht="28.5" hidden="false" customHeight="true" outlineLevel="0" collapsed="false">
      <c r="A227" s="25" t="n">
        <v>220</v>
      </c>
      <c r="B227" s="27" t="s">
        <v>241</v>
      </c>
      <c r="C227" s="49" t="s">
        <v>242</v>
      </c>
      <c r="D227" s="134"/>
      <c r="E227" s="135" t="n">
        <v>150</v>
      </c>
      <c r="F22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303.61338</v>
      </c>
      <c r="G227" s="135"/>
      <c r="H227" s="130" t="n">
        <v>2.5</v>
      </c>
      <c r="I227" s="26" t="n">
        <f aca="false">Tabela43[[#This Row],[Kolumna5]]*20700*0.27778</f>
        <v>14375.115</v>
      </c>
      <c r="J227" s="130"/>
      <c r="K227" s="130"/>
      <c r="L227" s="28" t="n">
        <f aca="false">Tabela43[[#This Row],[Kolumna8]]*0.000843882*40190*0.27778</f>
        <v>0</v>
      </c>
      <c r="M227" s="130"/>
      <c r="N227" s="146" t="n">
        <f aca="false">Tabela43[[#This Row],[Kolumna84]]/2.55</f>
        <v>0</v>
      </c>
      <c r="O227" s="28" t="n">
        <f aca="false">Tabela43[[#This Row],[Kolumna82]]*35.94*0.27778</f>
        <v>0</v>
      </c>
      <c r="P227" s="130"/>
      <c r="Q227" s="130"/>
      <c r="R227" s="130" t="n">
        <v>10</v>
      </c>
      <c r="S227" s="116" t="n">
        <f aca="false">Tabela43[[#This Row],[Kolumna92]]*0.65</f>
        <v>6.5</v>
      </c>
      <c r="T227" s="28" t="n">
        <f aca="false">Tabela43[[#This Row],[Kolumna10]]*15600*0.27778</f>
        <v>28166.892</v>
      </c>
      <c r="U227" s="130"/>
      <c r="V227" s="130"/>
      <c r="W227" s="130"/>
      <c r="X227" s="130" t="n">
        <v>250</v>
      </c>
      <c r="Y227" s="130" t="n">
        <f aca="false">Tabela43[[#This Row],[Kolumna1223]]*12</f>
        <v>3000</v>
      </c>
      <c r="Z227" s="28" t="n">
        <f aca="false">Tabela43[[#This Row],[Kolumna123]]/0.55</f>
        <v>5454.54545454545</v>
      </c>
      <c r="AA227" s="130"/>
      <c r="AB227" s="130" t="n">
        <v>1000</v>
      </c>
      <c r="AC227" s="125" t="n">
        <f aca="false">Tabela54[[#This Row],[Kolumna22]]*12</f>
        <v>12000</v>
      </c>
      <c r="AD227" s="122" t="n">
        <f aca="false">Tabela54[[#This Row],[Kolumna3]]/4.44</f>
        <v>2702.7027027027</v>
      </c>
      <c r="AE227" s="120" t="n">
        <f aca="false">Tabela54[[#This Row],[Kolumna23]]*Tabela54[[#This Row],[Kolumna63]]</f>
        <v>1621.62162162162</v>
      </c>
      <c r="AF227" s="120" t="n">
        <v>200</v>
      </c>
      <c r="AG227" s="122" t="n">
        <f aca="false">Tabela54[[#This Row],[Kolumna12]]*12</f>
        <v>2400</v>
      </c>
      <c r="AH227" s="122" t="n">
        <f aca="false">Tabela54[[#This Row],[Kolumna222]]/1.59</f>
        <v>1509.43396226415</v>
      </c>
      <c r="AI227" s="119" t="n">
        <f aca="false">Tabela54[[#This Row],[Kolumna223]]*Tabela54[[#This Row],[Kolumna63]]</f>
        <v>905.660377358491</v>
      </c>
      <c r="AJ227" s="119"/>
      <c r="AK227" s="122" t="n">
        <f aca="false">Tabela54[[#This Row],[Kolumna34]]*12</f>
        <v>0</v>
      </c>
      <c r="AL227" s="122" t="n">
        <f aca="false">Tabela54[[#This Row],[Kolumna32]]/4.2</f>
        <v>0</v>
      </c>
      <c r="AM227" s="119" t="n">
        <f aca="false">Tabela54[[#This Row],[Kolumna322]]*Tabela54[[#This Row],[Kolumna63]]</f>
        <v>0</v>
      </c>
      <c r="AN227" s="122"/>
      <c r="AO227" s="122" t="n">
        <f aca="false">Tabela54[[#This Row],[Kolumna5]]*Tabela54[[#This Row],[Kolumna63]]</f>
        <v>0</v>
      </c>
      <c r="AP227" s="53" t="n">
        <v>0.6</v>
      </c>
      <c r="AQ227" s="29"/>
      <c r="AR227" s="29"/>
      <c r="AS227" s="29"/>
      <c r="AT227" s="29"/>
    </row>
    <row r="228" s="29" customFormat="true" ht="33.75" hidden="false" customHeight="true" outlineLevel="0" collapsed="false">
      <c r="A228" s="40" t="n">
        <v>221</v>
      </c>
      <c r="B228" s="27" t="s">
        <v>241</v>
      </c>
      <c r="C228" s="49" t="s">
        <v>242</v>
      </c>
      <c r="D228" s="134"/>
      <c r="E228" s="135" t="n">
        <v>38</v>
      </c>
      <c r="F22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804.391894736842</v>
      </c>
      <c r="G228" s="135"/>
      <c r="H228" s="130"/>
      <c r="I228" s="26" t="n">
        <f aca="false">Tabela43[[#This Row],[Kolumna5]]*20700*0.27778</f>
        <v>0</v>
      </c>
      <c r="J228" s="130"/>
      <c r="K228" s="130"/>
      <c r="L228" s="28" t="n">
        <f aca="false">Tabela43[[#This Row],[Kolumna8]]*0.000843882*40190*0.27778</f>
        <v>0</v>
      </c>
      <c r="M228" s="130"/>
      <c r="N228" s="146" t="n">
        <f aca="false">Tabela43[[#This Row],[Kolumna84]]/2.55</f>
        <v>0</v>
      </c>
      <c r="O228" s="28" t="n">
        <f aca="false">Tabela43[[#This Row],[Kolumna82]]*35.94*0.27778</f>
        <v>0</v>
      </c>
      <c r="P228" s="130"/>
      <c r="Q228" s="130"/>
      <c r="R228" s="130" t="n">
        <v>10</v>
      </c>
      <c r="S228" s="116" t="n">
        <f aca="false">Tabela43[[#This Row],[Kolumna92]]*0.65</f>
        <v>6.5</v>
      </c>
      <c r="T228" s="28" t="n">
        <f aca="false">Tabela43[[#This Row],[Kolumna10]]*15600*0.27778</f>
        <v>28166.892</v>
      </c>
      <c r="U228" s="130"/>
      <c r="V228" s="130"/>
      <c r="W228" s="130"/>
      <c r="X228" s="130" t="n">
        <v>200</v>
      </c>
      <c r="Y228" s="130" t="n">
        <f aca="false">Tabela43[[#This Row],[Kolumna1223]]*12</f>
        <v>2400</v>
      </c>
      <c r="Z228" s="28" t="n">
        <f aca="false">Tabela43[[#This Row],[Kolumna123]]/0.55</f>
        <v>4363.63636363636</v>
      </c>
      <c r="AA228" s="130"/>
      <c r="AB228" s="130"/>
      <c r="AC228" s="125" t="n">
        <f aca="false">Tabela54[[#This Row],[Kolumna22]]*12</f>
        <v>0</v>
      </c>
      <c r="AD228" s="122" t="n">
        <f aca="false">Tabela54[[#This Row],[Kolumna3]]/4.44</f>
        <v>0</v>
      </c>
      <c r="AE228" s="120" t="n">
        <f aca="false">Tabela54[[#This Row],[Kolumna23]]*Tabela54[[#This Row],[Kolumna63]]</f>
        <v>0</v>
      </c>
      <c r="AF228" s="120" t="n">
        <v>50</v>
      </c>
      <c r="AG228" s="122" t="n">
        <f aca="false">Tabela54[[#This Row],[Kolumna12]]*12</f>
        <v>600</v>
      </c>
      <c r="AH228" s="122" t="n">
        <f aca="false">Tabela54[[#This Row],[Kolumna222]]/1.59</f>
        <v>377.358490566038</v>
      </c>
      <c r="AI228" s="119" t="n">
        <f aca="false">Tabela54[[#This Row],[Kolumna223]]*Tabela54[[#This Row],[Kolumna63]]</f>
        <v>75.4716981132076</v>
      </c>
      <c r="AJ228" s="119"/>
      <c r="AK228" s="122" t="n">
        <f aca="false">Tabela54[[#This Row],[Kolumna34]]*12</f>
        <v>0</v>
      </c>
      <c r="AL228" s="122" t="n">
        <f aca="false">Tabela54[[#This Row],[Kolumna32]]/4.2</f>
        <v>0</v>
      </c>
      <c r="AM228" s="119" t="n">
        <f aca="false">Tabela54[[#This Row],[Kolumna322]]*Tabela54[[#This Row],[Kolumna63]]</f>
        <v>0</v>
      </c>
      <c r="AN228" s="122"/>
      <c r="AO228" s="122" t="n">
        <f aca="false">Tabela54[[#This Row],[Kolumna5]]*Tabela54[[#This Row],[Kolumna63]]</f>
        <v>0</v>
      </c>
      <c r="AP228" s="53" t="n">
        <v>0.2</v>
      </c>
    </row>
    <row r="229" customFormat="false" ht="32.25" hidden="false" customHeight="true" outlineLevel="0" collapsed="false">
      <c r="A229" s="25" t="n">
        <v>222</v>
      </c>
      <c r="B229" s="27" t="s">
        <v>241</v>
      </c>
      <c r="C229" s="49" t="s">
        <v>242</v>
      </c>
      <c r="D229" s="134"/>
      <c r="E229" s="135" t="n">
        <v>120</v>
      </c>
      <c r="F22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307.58561</v>
      </c>
      <c r="G229" s="135"/>
      <c r="H229" s="130" t="n">
        <v>3</v>
      </c>
      <c r="I229" s="26" t="n">
        <f aca="false">Tabela43[[#This Row],[Kolumna5]]*20700*0.27778</f>
        <v>17250.138</v>
      </c>
      <c r="J229" s="130"/>
      <c r="K229" s="130"/>
      <c r="L229" s="28" t="n">
        <f aca="false">Tabela43[[#This Row],[Kolumna8]]*0.000843882*40190*0.27778</f>
        <v>0</v>
      </c>
      <c r="M229" s="130"/>
      <c r="N229" s="146" t="n">
        <f aca="false">Tabela43[[#This Row],[Kolumna84]]/2.55</f>
        <v>0</v>
      </c>
      <c r="O229" s="28" t="n">
        <f aca="false">Tabela43[[#This Row],[Kolumna82]]*35.94*0.27778</f>
        <v>0</v>
      </c>
      <c r="P229" s="130"/>
      <c r="Q229" s="130"/>
      <c r="R229" s="130" t="n">
        <v>6</v>
      </c>
      <c r="S229" s="116" t="n">
        <f aca="false">Tabela43[[#This Row],[Kolumna92]]*0.65</f>
        <v>3.9</v>
      </c>
      <c r="T229" s="28" t="n">
        <f aca="false">Tabela43[[#This Row],[Kolumna10]]*15600*0.27778</f>
        <v>16900.1352</v>
      </c>
      <c r="U229" s="130"/>
      <c r="V229" s="130"/>
      <c r="W229" s="130"/>
      <c r="X229" s="130" t="n">
        <v>230</v>
      </c>
      <c r="Y229" s="130" t="n">
        <f aca="false">Tabela43[[#This Row],[Kolumna1223]]*12</f>
        <v>2760</v>
      </c>
      <c r="Z229" s="28" t="n">
        <f aca="false">Tabela43[[#This Row],[Kolumna123]]/0.55</f>
        <v>5018.18181818182</v>
      </c>
      <c r="AA229" s="130"/>
      <c r="AB229" s="130" t="n">
        <v>500</v>
      </c>
      <c r="AC229" s="125" t="n">
        <f aca="false">Tabela54[[#This Row],[Kolumna22]]*12</f>
        <v>6000</v>
      </c>
      <c r="AD229" s="122" t="n">
        <f aca="false">Tabela54[[#This Row],[Kolumna3]]/4.44</f>
        <v>1351.35135135135</v>
      </c>
      <c r="AE229" s="120" t="n">
        <f aca="false">Tabela54[[#This Row],[Kolumna23]]*Tabela54[[#This Row],[Kolumna63]]</f>
        <v>810.810810810811</v>
      </c>
      <c r="AF229" s="120"/>
      <c r="AG229" s="122" t="n">
        <f aca="false">Tabela54[[#This Row],[Kolumna12]]*12</f>
        <v>0</v>
      </c>
      <c r="AH229" s="122" t="n">
        <f aca="false">Tabela54[[#This Row],[Kolumna222]]/1.59</f>
        <v>0</v>
      </c>
      <c r="AI229" s="119" t="n">
        <f aca="false">Tabela54[[#This Row],[Kolumna223]]*Tabela54[[#This Row],[Kolumna63]]</f>
        <v>0</v>
      </c>
      <c r="AJ229" s="119"/>
      <c r="AK229" s="122" t="n">
        <f aca="false">Tabela54[[#This Row],[Kolumna34]]*12</f>
        <v>0</v>
      </c>
      <c r="AL229" s="122" t="n">
        <f aca="false">Tabela54[[#This Row],[Kolumna32]]/4.2</f>
        <v>0</v>
      </c>
      <c r="AM229" s="119" t="n">
        <f aca="false">Tabela54[[#This Row],[Kolumna322]]*Tabela54[[#This Row],[Kolumna63]]</f>
        <v>0</v>
      </c>
      <c r="AN229" s="122"/>
      <c r="AO229" s="122" t="n">
        <f aca="false">Tabela54[[#This Row],[Kolumna5]]*Tabela54[[#This Row],[Kolumna63]]</f>
        <v>0</v>
      </c>
      <c r="AP229" s="53" t="n">
        <v>0.6</v>
      </c>
      <c r="AQ229" s="29"/>
      <c r="AR229" s="29"/>
      <c r="AS229" s="29"/>
      <c r="AT229" s="29"/>
    </row>
    <row r="230" customFormat="false" ht="34.5" hidden="false" customHeight="true" outlineLevel="0" collapsed="false">
      <c r="A230" s="25" t="n">
        <v>223</v>
      </c>
      <c r="B230" s="27" t="s">
        <v>241</v>
      </c>
      <c r="C230" s="49" t="s">
        <v>242</v>
      </c>
      <c r="D230" s="134"/>
      <c r="E230" s="135" t="n">
        <v>42</v>
      </c>
      <c r="F23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468.098457142857</v>
      </c>
      <c r="G230" s="135"/>
      <c r="H230" s="130"/>
      <c r="I230" s="26" t="n">
        <f aca="false">Tabela43[[#This Row],[Kolumna5]]*20700*0.27778</f>
        <v>0</v>
      </c>
      <c r="J230" s="130"/>
      <c r="K230" s="130"/>
      <c r="L230" s="28" t="n">
        <f aca="false">Tabela43[[#This Row],[Kolumna8]]*0.000843882*40190*0.27778</f>
        <v>0</v>
      </c>
      <c r="M230" s="130"/>
      <c r="N230" s="146" t="n">
        <f aca="false">Tabela43[[#This Row],[Kolumna84]]/2.55</f>
        <v>0</v>
      </c>
      <c r="O230" s="28" t="n">
        <f aca="false">Tabela43[[#This Row],[Kolumna82]]*35.94*0.27778</f>
        <v>0</v>
      </c>
      <c r="P230" s="130" t="n">
        <v>6</v>
      </c>
      <c r="Q230" s="130"/>
      <c r="R230" s="130" t="n">
        <v>6</v>
      </c>
      <c r="S230" s="116" t="n">
        <f aca="false">Tabela43[[#This Row],[Kolumna92]]*0.65</f>
        <v>3.9</v>
      </c>
      <c r="T230" s="28" t="n">
        <f aca="false">Tabela43[[#This Row],[Kolumna10]]*15600*0.27778</f>
        <v>16900.1352</v>
      </c>
      <c r="U230" s="130"/>
      <c r="V230" s="130"/>
      <c r="W230" s="130"/>
      <c r="X230" s="130" t="n">
        <v>230</v>
      </c>
      <c r="Y230" s="130" t="n">
        <f aca="false">Tabela43[[#This Row],[Kolumna1223]]*12</f>
        <v>2760</v>
      </c>
      <c r="Z230" s="28" t="n">
        <f aca="false">Tabela43[[#This Row],[Kolumna123]]/0.55</f>
        <v>5018.18181818182</v>
      </c>
      <c r="AA230" s="130"/>
      <c r="AB230" s="130" t="n">
        <v>400</v>
      </c>
      <c r="AC230" s="125" t="n">
        <f aca="false">Tabela54[[#This Row],[Kolumna22]]*12</f>
        <v>4800</v>
      </c>
      <c r="AD230" s="122" t="n">
        <f aca="false">Tabela54[[#This Row],[Kolumna3]]/4.44</f>
        <v>1081.08108108108</v>
      </c>
      <c r="AE230" s="120" t="n">
        <f aca="false">Tabela54[[#This Row],[Kolumna23]]*Tabela54[[#This Row],[Kolumna63]]</f>
        <v>540.540540540541</v>
      </c>
      <c r="AF230" s="120" t="n">
        <v>400</v>
      </c>
      <c r="AG230" s="122" t="n">
        <f aca="false">Tabela54[[#This Row],[Kolumna12]]*12</f>
        <v>4800</v>
      </c>
      <c r="AH230" s="122" t="n">
        <f aca="false">Tabela54[[#This Row],[Kolumna222]]/1.59</f>
        <v>3018.8679245283</v>
      </c>
      <c r="AI230" s="119" t="n">
        <f aca="false">Tabela54[[#This Row],[Kolumna223]]*Tabela54[[#This Row],[Kolumna63]]</f>
        <v>1509.43396226415</v>
      </c>
      <c r="AJ230" s="119"/>
      <c r="AK230" s="122" t="n">
        <f aca="false">Tabela54[[#This Row],[Kolumna34]]*12</f>
        <v>0</v>
      </c>
      <c r="AL230" s="122" t="n">
        <f aca="false">Tabela54[[#This Row],[Kolumna32]]/4.2</f>
        <v>0</v>
      </c>
      <c r="AM230" s="119" t="n">
        <f aca="false">Tabela54[[#This Row],[Kolumna322]]*Tabela54[[#This Row],[Kolumna63]]</f>
        <v>0</v>
      </c>
      <c r="AN230" s="122"/>
      <c r="AO230" s="122" t="n">
        <f aca="false">Tabela54[[#This Row],[Kolumna5]]*Tabela54[[#This Row],[Kolumna63]]</f>
        <v>0</v>
      </c>
      <c r="AP230" s="53" t="n">
        <v>0.5</v>
      </c>
      <c r="AQ230" s="29"/>
      <c r="AR230" s="29"/>
      <c r="AS230" s="29"/>
      <c r="AT230" s="29"/>
    </row>
    <row r="231" customFormat="false" ht="33" hidden="false" customHeight="true" outlineLevel="0" collapsed="false">
      <c r="A231" s="40" t="n">
        <v>224</v>
      </c>
      <c r="B231" s="27" t="s">
        <v>241</v>
      </c>
      <c r="C231" s="49" t="s">
        <v>242</v>
      </c>
      <c r="D231" s="134"/>
      <c r="E231" s="135" t="n">
        <v>80</v>
      </c>
      <c r="F23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424.58172</v>
      </c>
      <c r="G231" s="135"/>
      <c r="H231" s="130"/>
      <c r="I231" s="26" t="n">
        <f aca="false">Tabela43[[#This Row],[Kolumna5]]*20700*0.27778</f>
        <v>0</v>
      </c>
      <c r="J231" s="130"/>
      <c r="K231" s="130"/>
      <c r="L231" s="28" t="n">
        <f aca="false">Tabela43[[#This Row],[Kolumna8]]*0.000843882*40190*0.27778</f>
        <v>0</v>
      </c>
      <c r="M231" s="130" t="n">
        <f aca="false">700*12</f>
        <v>8400</v>
      </c>
      <c r="N231" s="146" t="n">
        <f aca="false">Tabela43[[#This Row],[Kolumna84]]/2.55</f>
        <v>3294.11764705882</v>
      </c>
      <c r="O231" s="28" t="n">
        <f aca="false">Tabela43[[#This Row],[Kolumna82]]*35.94*0.27778</f>
        <v>32886.5376</v>
      </c>
      <c r="P231" s="130"/>
      <c r="Q231" s="130"/>
      <c r="R231" s="130"/>
      <c r="S231" s="116" t="n">
        <f aca="false">Tabela43[[#This Row],[Kolumna92]]*0.65</f>
        <v>0</v>
      </c>
      <c r="T231" s="28" t="n">
        <f aca="false">Tabela43[[#This Row],[Kolumna10]]*15600*0.27778</f>
        <v>0</v>
      </c>
      <c r="U231" s="130"/>
      <c r="V231" s="130"/>
      <c r="W231" s="130"/>
      <c r="X231" s="130" t="n">
        <v>90</v>
      </c>
      <c r="Y231" s="130" t="n">
        <f aca="false">Tabela43[[#This Row],[Kolumna1223]]*12</f>
        <v>1080</v>
      </c>
      <c r="Z231" s="28" t="n">
        <f aca="false">Tabela43[[#This Row],[Kolumna123]]/0.55</f>
        <v>1963.63636363636</v>
      </c>
      <c r="AA231" s="130"/>
      <c r="AB231" s="130"/>
      <c r="AC231" s="125" t="n">
        <f aca="false">Tabela54[[#This Row],[Kolumna22]]*12</f>
        <v>0</v>
      </c>
      <c r="AD231" s="122" t="n">
        <f aca="false">Tabela54[[#This Row],[Kolumna3]]/4.44</f>
        <v>0</v>
      </c>
      <c r="AE231" s="120" t="n">
        <f aca="false">Tabela54[[#This Row],[Kolumna23]]*Tabela54[[#This Row],[Kolumna63]]</f>
        <v>0</v>
      </c>
      <c r="AF231" s="120"/>
      <c r="AG231" s="122" t="n">
        <f aca="false">Tabela54[[#This Row],[Kolumna12]]*12</f>
        <v>0</v>
      </c>
      <c r="AH231" s="122" t="n">
        <f aca="false">Tabela54[[#This Row],[Kolumna222]]/1.59</f>
        <v>0</v>
      </c>
      <c r="AI231" s="119" t="n">
        <f aca="false">Tabela54[[#This Row],[Kolumna223]]*Tabela54[[#This Row],[Kolumna63]]</f>
        <v>0</v>
      </c>
      <c r="AJ231" s="119"/>
      <c r="AK231" s="122" t="n">
        <f aca="false">Tabela54[[#This Row],[Kolumna34]]*12</f>
        <v>0</v>
      </c>
      <c r="AL231" s="122" t="n">
        <f aca="false">Tabela54[[#This Row],[Kolumna32]]/4.2</f>
        <v>0</v>
      </c>
      <c r="AM231" s="119" t="n">
        <f aca="false">Tabela54[[#This Row],[Kolumna322]]*Tabela54[[#This Row],[Kolumna63]]</f>
        <v>0</v>
      </c>
      <c r="AN231" s="122"/>
      <c r="AO231" s="122" t="n">
        <f aca="false">Tabela54[[#This Row],[Kolumna5]]*Tabela54[[#This Row],[Kolumna63]]</f>
        <v>0</v>
      </c>
      <c r="AP231" s="53"/>
      <c r="AQ231" s="29"/>
      <c r="AR231" s="29"/>
      <c r="AS231" s="29"/>
      <c r="AT231" s="29"/>
    </row>
    <row r="232" customFormat="false" ht="30" hidden="false" customHeight="true" outlineLevel="0" collapsed="false">
      <c r="A232" s="25" t="n">
        <v>225</v>
      </c>
      <c r="B232" s="27" t="s">
        <v>241</v>
      </c>
      <c r="C232" s="49" t="s">
        <v>242</v>
      </c>
      <c r="D232" s="134"/>
      <c r="E232" s="135" t="n">
        <v>75</v>
      </c>
      <c r="F23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238.443584</v>
      </c>
      <c r="G232" s="135"/>
      <c r="H232" s="130"/>
      <c r="I232" s="26" t="n">
        <f aca="false">Tabela43[[#This Row],[Kolumna5]]*20700*0.27778</f>
        <v>0</v>
      </c>
      <c r="J232" s="130"/>
      <c r="K232" s="130"/>
      <c r="L232" s="28" t="n">
        <f aca="false">Tabela43[[#This Row],[Kolumna8]]*0.000843882*40190*0.27778</f>
        <v>0</v>
      </c>
      <c r="M232" s="130" t="n">
        <f aca="false">350*12</f>
        <v>4200</v>
      </c>
      <c r="N232" s="146" t="n">
        <f aca="false">Tabela43[[#This Row],[Kolumna84]]/2.55</f>
        <v>1647.05882352941</v>
      </c>
      <c r="O232" s="28" t="n">
        <f aca="false">Tabela43[[#This Row],[Kolumna82]]*35.94*0.27778</f>
        <v>16443.2688</v>
      </c>
      <c r="P232" s="130"/>
      <c r="Q232" s="130"/>
      <c r="R232" s="130"/>
      <c r="S232" s="116" t="n">
        <f aca="false">Tabela43[[#This Row],[Kolumna92]]*0.65</f>
        <v>0</v>
      </c>
      <c r="T232" s="28" t="n">
        <f aca="false">Tabela43[[#This Row],[Kolumna10]]*15600*0.27778</f>
        <v>0</v>
      </c>
      <c r="U232" s="130"/>
      <c r="V232" s="130"/>
      <c r="W232" s="130"/>
      <c r="X232" s="130" t="n">
        <v>120</v>
      </c>
      <c r="Y232" s="130" t="n">
        <f aca="false">Tabela43[[#This Row],[Kolumna1223]]*12</f>
        <v>1440</v>
      </c>
      <c r="Z232" s="28" t="n">
        <f aca="false">Tabela43[[#This Row],[Kolumna123]]/0.55</f>
        <v>2618.18181818182</v>
      </c>
      <c r="AA232" s="130"/>
      <c r="AB232" s="130" t="n">
        <v>200</v>
      </c>
      <c r="AC232" s="125" t="n">
        <f aca="false">Tabela54[[#This Row],[Kolumna22]]*12</f>
        <v>2400</v>
      </c>
      <c r="AD232" s="122" t="n">
        <f aca="false">Tabela54[[#This Row],[Kolumna3]]/4.44</f>
        <v>540.540540540541</v>
      </c>
      <c r="AE232" s="120" t="n">
        <f aca="false">Tabela54[[#This Row],[Kolumna23]]*Tabela54[[#This Row],[Kolumna63]]</f>
        <v>324.324324324324</v>
      </c>
      <c r="AF232" s="120"/>
      <c r="AG232" s="122" t="n">
        <f aca="false">Tabela54[[#This Row],[Kolumna12]]*12</f>
        <v>0</v>
      </c>
      <c r="AH232" s="122" t="n">
        <f aca="false">Tabela54[[#This Row],[Kolumna222]]/1.59</f>
        <v>0</v>
      </c>
      <c r="AI232" s="119" t="n">
        <f aca="false">Tabela54[[#This Row],[Kolumna223]]*Tabela54[[#This Row],[Kolumna63]]</f>
        <v>0</v>
      </c>
      <c r="AJ232" s="119"/>
      <c r="AK232" s="122" t="n">
        <f aca="false">Tabela54[[#This Row],[Kolumna34]]*12</f>
        <v>0</v>
      </c>
      <c r="AL232" s="122" t="n">
        <f aca="false">Tabela54[[#This Row],[Kolumna32]]/4.2</f>
        <v>0</v>
      </c>
      <c r="AM232" s="119" t="n">
        <f aca="false">Tabela54[[#This Row],[Kolumna322]]*Tabela54[[#This Row],[Kolumna63]]</f>
        <v>0</v>
      </c>
      <c r="AN232" s="122"/>
      <c r="AO232" s="122" t="n">
        <f aca="false">Tabela54[[#This Row],[Kolumna5]]*Tabela54[[#This Row],[Kolumna63]]</f>
        <v>0</v>
      </c>
      <c r="AP232" s="53" t="n">
        <v>0.6</v>
      </c>
      <c r="AQ232" s="29"/>
      <c r="AR232" s="29"/>
      <c r="AS232" s="29"/>
      <c r="AT232" s="29"/>
    </row>
    <row r="233" customFormat="false" ht="27" hidden="false" customHeight="true" outlineLevel="0" collapsed="false">
      <c r="A233" s="25" t="n">
        <v>226</v>
      </c>
      <c r="B233" s="27" t="s">
        <v>241</v>
      </c>
      <c r="C233" s="49" t="s">
        <v>242</v>
      </c>
      <c r="D233" s="134"/>
      <c r="E233" s="135" t="n">
        <v>120</v>
      </c>
      <c r="F23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251.66856</v>
      </c>
      <c r="G233" s="135"/>
      <c r="H233" s="130" t="n">
        <v>2</v>
      </c>
      <c r="I233" s="26" t="n">
        <f aca="false">Tabela43[[#This Row],[Kolumna5]]*20700*0.27778</f>
        <v>11500.092</v>
      </c>
      <c r="J233" s="130"/>
      <c r="K233" s="130"/>
      <c r="L233" s="28" t="n">
        <f aca="false">Tabela43[[#This Row],[Kolumna8]]*0.000843882*40190*0.27778</f>
        <v>0</v>
      </c>
      <c r="M233" s="130"/>
      <c r="N233" s="146" t="n">
        <f aca="false">Tabela43[[#This Row],[Kolumna84]]/2.55</f>
        <v>0</v>
      </c>
      <c r="O233" s="28" t="n">
        <f aca="false">Tabela43[[#This Row],[Kolumna82]]*35.94*0.27778</f>
        <v>0</v>
      </c>
      <c r="P233" s="130"/>
      <c r="Q233" s="130"/>
      <c r="R233" s="130" t="n">
        <v>6</v>
      </c>
      <c r="S233" s="116" t="n">
        <f aca="false">Tabela43[[#This Row],[Kolumna92]]*0.65</f>
        <v>3.9</v>
      </c>
      <c r="T233" s="28" t="n">
        <f aca="false">Tabela43[[#This Row],[Kolumna10]]*15600*0.27778</f>
        <v>16900.1352</v>
      </c>
      <c r="U233" s="130"/>
      <c r="V233" s="130"/>
      <c r="W233" s="130"/>
      <c r="X233" s="130" t="n">
        <v>150</v>
      </c>
      <c r="Y233" s="130" t="n">
        <f aca="false">Tabela43[[#This Row],[Kolumna1223]]*12</f>
        <v>1800</v>
      </c>
      <c r="Z233" s="28" t="n">
        <f aca="false">Tabela43[[#This Row],[Kolumna123]]/0.55</f>
        <v>3272.72727272727</v>
      </c>
      <c r="AA233" s="130"/>
      <c r="AB233" s="130"/>
      <c r="AC233" s="125" t="n">
        <f aca="false">Tabela54[[#This Row],[Kolumna22]]*12</f>
        <v>0</v>
      </c>
      <c r="AD233" s="122" t="n">
        <f aca="false">Tabela54[[#This Row],[Kolumna3]]/4.44</f>
        <v>0</v>
      </c>
      <c r="AE233" s="120" t="n">
        <f aca="false">Tabela54[[#This Row],[Kolumna23]]*Tabela54[[#This Row],[Kolumna63]]</f>
        <v>0</v>
      </c>
      <c r="AF233" s="120"/>
      <c r="AG233" s="122" t="n">
        <f aca="false">Tabela54[[#This Row],[Kolumna12]]*12</f>
        <v>0</v>
      </c>
      <c r="AH233" s="122" t="n">
        <f aca="false">Tabela54[[#This Row],[Kolumna222]]/1.59</f>
        <v>0</v>
      </c>
      <c r="AI233" s="119" t="n">
        <f aca="false">Tabela54[[#This Row],[Kolumna223]]*Tabela54[[#This Row],[Kolumna63]]</f>
        <v>0</v>
      </c>
      <c r="AJ233" s="119" t="n">
        <v>400</v>
      </c>
      <c r="AK233" s="122" t="n">
        <f aca="false">Tabela54[[#This Row],[Kolumna34]]*12</f>
        <v>4800</v>
      </c>
      <c r="AL233" s="122" t="n">
        <f aca="false">Tabela54[[#This Row],[Kolumna32]]/4.2</f>
        <v>1142.85714285714</v>
      </c>
      <c r="AM233" s="119" t="n">
        <f aca="false">Tabela54[[#This Row],[Kolumna322]]*Tabela54[[#This Row],[Kolumna63]]</f>
        <v>228.571428571429</v>
      </c>
      <c r="AN233" s="122"/>
      <c r="AO233" s="122" t="n">
        <f aca="false">Tabela54[[#This Row],[Kolumna5]]*Tabela54[[#This Row],[Kolumna63]]</f>
        <v>0</v>
      </c>
      <c r="AP233" s="53" t="n">
        <v>0.2</v>
      </c>
      <c r="AQ233" s="29"/>
      <c r="AR233" s="29"/>
      <c r="AS233" s="29"/>
      <c r="AT233" s="29"/>
    </row>
    <row r="234" customFormat="false" ht="30.75" hidden="false" customHeight="true" outlineLevel="0" collapsed="false">
      <c r="A234" s="40" t="n">
        <v>227</v>
      </c>
      <c r="B234" s="27" t="s">
        <v>241</v>
      </c>
      <c r="C234" s="49" t="s">
        <v>242</v>
      </c>
      <c r="D234" s="134"/>
      <c r="E234" s="135" t="n">
        <v>100</v>
      </c>
      <c r="F23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384.0363</v>
      </c>
      <c r="G234" s="135"/>
      <c r="H234" s="130" t="n">
        <v>4</v>
      </c>
      <c r="I234" s="26" t="n">
        <f aca="false">Tabela43[[#This Row],[Kolumna5]]*20700*0.27778</f>
        <v>23000.184</v>
      </c>
      <c r="J234" s="130"/>
      <c r="K234" s="130"/>
      <c r="L234" s="28" t="n">
        <f aca="false">Tabela43[[#This Row],[Kolumna8]]*0.000843882*40190*0.27778</f>
        <v>0</v>
      </c>
      <c r="M234" s="130"/>
      <c r="N234" s="146" t="n">
        <f aca="false">Tabela43[[#This Row],[Kolumna84]]/2.55</f>
        <v>0</v>
      </c>
      <c r="O234" s="28" t="n">
        <f aca="false">Tabela43[[#This Row],[Kolumna82]]*35.94*0.27778</f>
        <v>0</v>
      </c>
      <c r="P234" s="130"/>
      <c r="Q234" s="130"/>
      <c r="R234" s="130" t="n">
        <v>5</v>
      </c>
      <c r="S234" s="116" t="n">
        <f aca="false">Tabela43[[#This Row],[Kolumna92]]*0.65</f>
        <v>3.25</v>
      </c>
      <c r="T234" s="28" t="n">
        <f aca="false">Tabela43[[#This Row],[Kolumna10]]*15600*0.27778</f>
        <v>14083.446</v>
      </c>
      <c r="U234" s="130"/>
      <c r="V234" s="130"/>
      <c r="W234" s="130"/>
      <c r="X234" s="130" t="n">
        <v>110</v>
      </c>
      <c r="Y234" s="130" t="n">
        <f aca="false">Tabela43[[#This Row],[Kolumna1223]]*12</f>
        <v>1320</v>
      </c>
      <c r="Z234" s="28" t="n">
        <f aca="false">Tabela43[[#This Row],[Kolumna123]]/0.55</f>
        <v>2400</v>
      </c>
      <c r="AA234" s="130"/>
      <c r="AB234" s="130"/>
      <c r="AC234" s="125" t="n">
        <f aca="false">Tabela54[[#This Row],[Kolumna22]]*12</f>
        <v>0</v>
      </c>
      <c r="AD234" s="122" t="n">
        <f aca="false">Tabela54[[#This Row],[Kolumna3]]/4.44</f>
        <v>0</v>
      </c>
      <c r="AE234" s="120" t="n">
        <f aca="false">Tabela54[[#This Row],[Kolumna23]]*Tabela54[[#This Row],[Kolumna63]]</f>
        <v>0</v>
      </c>
      <c r="AF234" s="120"/>
      <c r="AG234" s="122" t="n">
        <f aca="false">Tabela54[[#This Row],[Kolumna12]]*12</f>
        <v>0</v>
      </c>
      <c r="AH234" s="122" t="n">
        <f aca="false">Tabela54[[#This Row],[Kolumna222]]/1.59</f>
        <v>0</v>
      </c>
      <c r="AI234" s="119" t="n">
        <f aca="false">Tabela54[[#This Row],[Kolumna223]]*Tabela54[[#This Row],[Kolumna63]]</f>
        <v>0</v>
      </c>
      <c r="AJ234" s="119" t="n">
        <v>200</v>
      </c>
      <c r="AK234" s="122" t="n">
        <f aca="false">Tabela54[[#This Row],[Kolumna34]]*12</f>
        <v>2400</v>
      </c>
      <c r="AL234" s="122" t="n">
        <f aca="false">Tabela54[[#This Row],[Kolumna32]]/4.2</f>
        <v>571.428571428571</v>
      </c>
      <c r="AM234" s="119" t="n">
        <f aca="false">Tabela54[[#This Row],[Kolumna322]]*Tabela54[[#This Row],[Kolumna63]]</f>
        <v>114.285714285714</v>
      </c>
      <c r="AN234" s="122"/>
      <c r="AO234" s="122" t="n">
        <f aca="false">Tabela54[[#This Row],[Kolumna5]]*Tabela54[[#This Row],[Kolumna63]]</f>
        <v>0</v>
      </c>
      <c r="AP234" s="53" t="n">
        <v>0.2</v>
      </c>
      <c r="AQ234" s="29"/>
      <c r="AR234" s="29"/>
      <c r="AS234" s="29"/>
      <c r="AT234" s="29"/>
    </row>
    <row r="235" customFormat="false" ht="32.25" hidden="false" customHeight="true" outlineLevel="0" collapsed="false">
      <c r="A235" s="25" t="n">
        <v>228</v>
      </c>
      <c r="B235" s="27" t="s">
        <v>241</v>
      </c>
      <c r="C235" s="49" t="s">
        <v>242</v>
      </c>
      <c r="D235" s="134"/>
      <c r="E235" s="135" t="n">
        <v>120</v>
      </c>
      <c r="F23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342.5582</v>
      </c>
      <c r="G235" s="135"/>
      <c r="H235" s="130" t="n">
        <v>2</v>
      </c>
      <c r="I235" s="26" t="n">
        <f aca="false">Tabela43[[#This Row],[Kolumna5]]*20700*0.27778</f>
        <v>11500.092</v>
      </c>
      <c r="J235" s="130"/>
      <c r="K235" s="130"/>
      <c r="L235" s="28" t="n">
        <f aca="false">Tabela43[[#This Row],[Kolumna8]]*0.000843882*40190*0.27778</f>
        <v>0</v>
      </c>
      <c r="M235" s="130"/>
      <c r="N235" s="146" t="n">
        <f aca="false">Tabela43[[#This Row],[Kolumna84]]/2.55</f>
        <v>0</v>
      </c>
      <c r="O235" s="28" t="n">
        <f aca="false">Tabela43[[#This Row],[Kolumna82]]*35.94*0.27778</f>
        <v>0</v>
      </c>
      <c r="P235" s="130"/>
      <c r="Q235" s="130"/>
      <c r="R235" s="130" t="n">
        <v>10</v>
      </c>
      <c r="S235" s="116" t="n">
        <f aca="false">Tabela43[[#This Row],[Kolumna92]]*0.65</f>
        <v>6.5</v>
      </c>
      <c r="T235" s="28" t="n">
        <f aca="false">Tabela43[[#This Row],[Kolumna10]]*15600*0.27778</f>
        <v>28166.892</v>
      </c>
      <c r="U235" s="130"/>
      <c r="V235" s="130"/>
      <c r="W235" s="130"/>
      <c r="X235" s="130" t="n">
        <v>120</v>
      </c>
      <c r="Y235" s="130" t="n">
        <f aca="false">Tabela43[[#This Row],[Kolumna1223]]*12</f>
        <v>1440</v>
      </c>
      <c r="Z235" s="28" t="n">
        <f aca="false">Tabela43[[#This Row],[Kolumna123]]/0.55</f>
        <v>2618.18181818182</v>
      </c>
      <c r="AA235" s="130"/>
      <c r="AB235" s="130" t="n">
        <v>100</v>
      </c>
      <c r="AC235" s="125" t="n">
        <f aca="false">Tabela54[[#This Row],[Kolumna22]]*12</f>
        <v>1200</v>
      </c>
      <c r="AD235" s="122" t="n">
        <f aca="false">Tabela54[[#This Row],[Kolumna3]]/4.44</f>
        <v>270.27027027027</v>
      </c>
      <c r="AE235" s="120" t="n">
        <f aca="false">Tabela54[[#This Row],[Kolumna23]]*Tabela54[[#This Row],[Kolumna63]]</f>
        <v>54.0540540540541</v>
      </c>
      <c r="AF235" s="120"/>
      <c r="AG235" s="122" t="n">
        <f aca="false">Tabela54[[#This Row],[Kolumna12]]*12</f>
        <v>0</v>
      </c>
      <c r="AH235" s="122" t="n">
        <f aca="false">Tabela54[[#This Row],[Kolumna222]]/1.59</f>
        <v>0</v>
      </c>
      <c r="AI235" s="119" t="n">
        <f aca="false">Tabela54[[#This Row],[Kolumna223]]*Tabela54[[#This Row],[Kolumna63]]</f>
        <v>0</v>
      </c>
      <c r="AJ235" s="119"/>
      <c r="AK235" s="122" t="n">
        <f aca="false">Tabela54[[#This Row],[Kolumna34]]*12</f>
        <v>0</v>
      </c>
      <c r="AL235" s="122" t="n">
        <f aca="false">Tabela54[[#This Row],[Kolumna32]]/4.2</f>
        <v>0</v>
      </c>
      <c r="AM235" s="119" t="n">
        <f aca="false">Tabela54[[#This Row],[Kolumna322]]*Tabela54[[#This Row],[Kolumna63]]</f>
        <v>0</v>
      </c>
      <c r="AN235" s="122"/>
      <c r="AO235" s="122" t="n">
        <f aca="false">Tabela54[[#This Row],[Kolumna5]]*Tabela54[[#This Row],[Kolumna63]]</f>
        <v>0</v>
      </c>
      <c r="AP235" s="53" t="n">
        <v>0.2</v>
      </c>
      <c r="AQ235" s="29"/>
      <c r="AR235" s="29"/>
      <c r="AS235" s="29"/>
      <c r="AT235" s="29"/>
    </row>
    <row r="236" customFormat="false" ht="30.75" hidden="false" customHeight="true" outlineLevel="0" collapsed="false">
      <c r="A236" s="25" t="n">
        <v>229</v>
      </c>
      <c r="B236" s="27" t="s">
        <v>241</v>
      </c>
      <c r="C236" s="49" t="s">
        <v>242</v>
      </c>
      <c r="D236" s="134"/>
      <c r="E236" s="135" t="n">
        <v>100</v>
      </c>
      <c r="F23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466.1703</v>
      </c>
      <c r="G236" s="135"/>
      <c r="H236" s="130" t="n">
        <v>3</v>
      </c>
      <c r="I236" s="26" t="n">
        <f aca="false">Tabela43[[#This Row],[Kolumna5]]*20700*0.27778</f>
        <v>17250.138</v>
      </c>
      <c r="J236" s="130"/>
      <c r="K236" s="130"/>
      <c r="L236" s="28" t="n">
        <f aca="false">Tabela43[[#This Row],[Kolumna8]]*0.000843882*40190*0.27778</f>
        <v>0</v>
      </c>
      <c r="M236" s="130"/>
      <c r="N236" s="146" t="n">
        <f aca="false">Tabela43[[#This Row],[Kolumna84]]/2.55</f>
        <v>0</v>
      </c>
      <c r="O236" s="28" t="n">
        <f aca="false">Tabela43[[#This Row],[Kolumna82]]*35.94*0.27778</f>
        <v>0</v>
      </c>
      <c r="P236" s="130"/>
      <c r="Q236" s="130"/>
      <c r="R236" s="130" t="n">
        <v>10</v>
      </c>
      <c r="S236" s="116" t="n">
        <f aca="false">Tabela43[[#This Row],[Kolumna92]]*0.65</f>
        <v>6.5</v>
      </c>
      <c r="T236" s="28" t="n">
        <f aca="false">Tabela43[[#This Row],[Kolumna10]]*15600*0.27778</f>
        <v>28166.892</v>
      </c>
      <c r="U236" s="130"/>
      <c r="V236" s="130"/>
      <c r="W236" s="130"/>
      <c r="X236" s="130" t="n">
        <v>100</v>
      </c>
      <c r="Y236" s="130" t="n">
        <f aca="false">Tabela43[[#This Row],[Kolumna1223]]*12</f>
        <v>1200</v>
      </c>
      <c r="Z236" s="28" t="n">
        <f aca="false">Tabela43[[#This Row],[Kolumna123]]/0.55</f>
        <v>2181.81818181818</v>
      </c>
      <c r="AA236" s="130"/>
      <c r="AB236" s="130" t="n">
        <v>100</v>
      </c>
      <c r="AC236" s="125" t="n">
        <f aca="false">Tabela54[[#This Row],[Kolumna22]]*12</f>
        <v>1200</v>
      </c>
      <c r="AD236" s="122" t="n">
        <f aca="false">Tabela54[[#This Row],[Kolumna3]]/4.44</f>
        <v>270.27027027027</v>
      </c>
      <c r="AE236" s="120" t="n">
        <f aca="false">Tabela54[[#This Row],[Kolumna23]]*Tabela54[[#This Row],[Kolumna63]]</f>
        <v>189.189189189189</v>
      </c>
      <c r="AF236" s="120" t="n">
        <v>200</v>
      </c>
      <c r="AG236" s="122" t="n">
        <f aca="false">Tabela54[[#This Row],[Kolumna12]]*12</f>
        <v>2400</v>
      </c>
      <c r="AH236" s="122" t="n">
        <f aca="false">Tabela54[[#This Row],[Kolumna222]]/1.59</f>
        <v>1509.43396226415</v>
      </c>
      <c r="AI236" s="119" t="n">
        <f aca="false">Tabela54[[#This Row],[Kolumna223]]*Tabela54[[#This Row],[Kolumna63]]</f>
        <v>1056.60377358491</v>
      </c>
      <c r="AJ236" s="119"/>
      <c r="AK236" s="122" t="n">
        <f aca="false">Tabela54[[#This Row],[Kolumna34]]*12</f>
        <v>0</v>
      </c>
      <c r="AL236" s="122" t="n">
        <f aca="false">Tabela54[[#This Row],[Kolumna32]]/4.2</f>
        <v>0</v>
      </c>
      <c r="AM236" s="119" t="n">
        <f aca="false">Tabela54[[#This Row],[Kolumna322]]*Tabela54[[#This Row],[Kolumna63]]</f>
        <v>0</v>
      </c>
      <c r="AN236" s="122"/>
      <c r="AO236" s="122" t="n">
        <f aca="false">Tabela54[[#This Row],[Kolumna5]]*Tabela54[[#This Row],[Kolumna63]]</f>
        <v>0</v>
      </c>
      <c r="AP236" s="53" t="n">
        <v>0.7</v>
      </c>
      <c r="AQ236" s="29"/>
      <c r="AR236" s="29"/>
      <c r="AS236" s="29"/>
      <c r="AT236" s="29"/>
    </row>
    <row r="237" customFormat="false" ht="28.5" hidden="false" customHeight="true" outlineLevel="0" collapsed="false">
      <c r="A237" s="40" t="n">
        <v>230</v>
      </c>
      <c r="B237" s="27" t="s">
        <v>241</v>
      </c>
      <c r="C237" s="49" t="s">
        <v>242</v>
      </c>
      <c r="D237" s="134"/>
      <c r="E237" s="135" t="n">
        <v>120</v>
      </c>
      <c r="F23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249.7241</v>
      </c>
      <c r="G237" s="135"/>
      <c r="H237" s="130"/>
      <c r="I237" s="26" t="n">
        <f aca="false">Tabela43[[#This Row],[Kolumna5]]*20700*0.27778</f>
        <v>0</v>
      </c>
      <c r="J237" s="130"/>
      <c r="K237" s="130"/>
      <c r="L237" s="28" t="n">
        <f aca="false">Tabela43[[#This Row],[Kolumna8]]*0.000843882*40190*0.27778</f>
        <v>0</v>
      </c>
      <c r="M237" s="130"/>
      <c r="N237" s="146" t="n">
        <f aca="false">Tabela43[[#This Row],[Kolumna84]]/2.55</f>
        <v>0</v>
      </c>
      <c r="O237" s="28" t="n">
        <f aca="false">Tabela43[[#This Row],[Kolumna82]]*35.94*0.27778</f>
        <v>0</v>
      </c>
      <c r="P237" s="130"/>
      <c r="Q237" s="130"/>
      <c r="R237" s="130" t="n">
        <v>10</v>
      </c>
      <c r="S237" s="116" t="n">
        <f aca="false">Tabela43[[#This Row],[Kolumna92]]*0.65</f>
        <v>6.5</v>
      </c>
      <c r="T237" s="28" t="n">
        <f aca="false">Tabela43[[#This Row],[Kolumna10]]*15600*0.27778</f>
        <v>28166.892</v>
      </c>
      <c r="U237" s="130"/>
      <c r="V237" s="130"/>
      <c r="W237" s="130"/>
      <c r="X237" s="130" t="n">
        <v>150</v>
      </c>
      <c r="Y237" s="130" t="n">
        <f aca="false">Tabela43[[#This Row],[Kolumna1223]]*12</f>
        <v>1800</v>
      </c>
      <c r="Z237" s="28" t="n">
        <f aca="false">Tabela43[[#This Row],[Kolumna123]]/0.55</f>
        <v>3272.72727272727</v>
      </c>
      <c r="AA237" s="130"/>
      <c r="AB237" s="130" t="n">
        <v>150</v>
      </c>
      <c r="AC237" s="125" t="n">
        <f aca="false">Tabela54[[#This Row],[Kolumna22]]*12</f>
        <v>1800</v>
      </c>
      <c r="AD237" s="122" t="n">
        <f aca="false">Tabela54[[#This Row],[Kolumna3]]/4.44</f>
        <v>405.405405405405</v>
      </c>
      <c r="AE237" s="120" t="n">
        <f aca="false">Tabela54[[#This Row],[Kolumna23]]*Tabela54[[#This Row],[Kolumna63]]</f>
        <v>243.243243243243</v>
      </c>
      <c r="AF237" s="120"/>
      <c r="AG237" s="122" t="n">
        <f aca="false">Tabela54[[#This Row],[Kolumna12]]*12</f>
        <v>0</v>
      </c>
      <c r="AH237" s="122" t="n">
        <f aca="false">Tabela54[[#This Row],[Kolumna222]]/1.59</f>
        <v>0</v>
      </c>
      <c r="AI237" s="119" t="n">
        <f aca="false">Tabela54[[#This Row],[Kolumna223]]*Tabela54[[#This Row],[Kolumna63]]</f>
        <v>0</v>
      </c>
      <c r="AJ237" s="119"/>
      <c r="AK237" s="122" t="n">
        <f aca="false">Tabela54[[#This Row],[Kolumna34]]*12</f>
        <v>0</v>
      </c>
      <c r="AL237" s="122" t="n">
        <f aca="false">Tabela54[[#This Row],[Kolumna32]]/4.2</f>
        <v>0</v>
      </c>
      <c r="AM237" s="119" t="n">
        <f aca="false">Tabela54[[#This Row],[Kolumna322]]*Tabela54[[#This Row],[Kolumna63]]</f>
        <v>0</v>
      </c>
      <c r="AN237" s="122"/>
      <c r="AO237" s="122" t="n">
        <f aca="false">Tabela54[[#This Row],[Kolumna5]]*Tabela54[[#This Row],[Kolumna63]]</f>
        <v>0</v>
      </c>
      <c r="AP237" s="53" t="n">
        <v>0.6</v>
      </c>
      <c r="AQ237" s="29"/>
      <c r="AR237" s="29"/>
      <c r="AS237" s="29"/>
      <c r="AT237" s="29"/>
    </row>
    <row r="238" customFormat="false" ht="27" hidden="false" customHeight="true" outlineLevel="0" collapsed="false">
      <c r="A238" s="25" t="n">
        <v>231</v>
      </c>
      <c r="B238" s="27" t="s">
        <v>241</v>
      </c>
      <c r="C238" s="49" t="s">
        <v>242</v>
      </c>
      <c r="D238" s="134"/>
      <c r="E238" s="135" t="n">
        <v>120</v>
      </c>
      <c r="F23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259.154675</v>
      </c>
      <c r="G238" s="135"/>
      <c r="H238" s="130" t="n">
        <v>2.5</v>
      </c>
      <c r="I238" s="26" t="n">
        <f aca="false">Tabela43[[#This Row],[Kolumna5]]*20700*0.27778</f>
        <v>14375.115</v>
      </c>
      <c r="J238" s="130"/>
      <c r="K238" s="130"/>
      <c r="L238" s="28" t="n">
        <f aca="false">Tabela43[[#This Row],[Kolumna8]]*0.000843882*40190*0.27778</f>
        <v>0</v>
      </c>
      <c r="M238" s="130"/>
      <c r="N238" s="146" t="n">
        <f aca="false">Tabela43[[#This Row],[Kolumna84]]/2.55</f>
        <v>0</v>
      </c>
      <c r="O238" s="28" t="n">
        <f aca="false">Tabela43[[#This Row],[Kolumna82]]*35.94*0.27778</f>
        <v>0</v>
      </c>
      <c r="P238" s="130" t="n">
        <v>6</v>
      </c>
      <c r="Q238" s="130"/>
      <c r="R238" s="130" t="n">
        <v>5</v>
      </c>
      <c r="S238" s="116" t="n">
        <f aca="false">Tabela43[[#This Row],[Kolumna92]]*0.65</f>
        <v>3.25</v>
      </c>
      <c r="T238" s="28" t="n">
        <f aca="false">Tabela43[[#This Row],[Kolumna10]]*15600*0.27778</f>
        <v>14083.446</v>
      </c>
      <c r="U238" s="130"/>
      <c r="V238" s="130"/>
      <c r="W238" s="130"/>
      <c r="X238" s="130" t="n">
        <v>220</v>
      </c>
      <c r="Y238" s="130" t="n">
        <f aca="false">Tabela43[[#This Row],[Kolumna1223]]*12</f>
        <v>2640</v>
      </c>
      <c r="Z238" s="28" t="n">
        <f aca="false">Tabela43[[#This Row],[Kolumna123]]/0.55</f>
        <v>4800</v>
      </c>
      <c r="AA238" s="130"/>
      <c r="AB238" s="130"/>
      <c r="AC238" s="125" t="n">
        <f aca="false">Tabela54[[#This Row],[Kolumna22]]*12</f>
        <v>0</v>
      </c>
      <c r="AD238" s="122" t="n">
        <f aca="false">Tabela54[[#This Row],[Kolumna3]]/4.44</f>
        <v>0</v>
      </c>
      <c r="AE238" s="120" t="n">
        <f aca="false">Tabela54[[#This Row],[Kolumna23]]*Tabela54[[#This Row],[Kolumna63]]</f>
        <v>0</v>
      </c>
      <c r="AF238" s="120" t="n">
        <v>150</v>
      </c>
      <c r="AG238" s="122" t="n">
        <f aca="false">Tabela54[[#This Row],[Kolumna12]]*12</f>
        <v>1800</v>
      </c>
      <c r="AH238" s="122" t="n">
        <f aca="false">Tabela54[[#This Row],[Kolumna222]]/1.59</f>
        <v>1132.07547169811</v>
      </c>
      <c r="AI238" s="119" t="n">
        <f aca="false">Tabela54[[#This Row],[Kolumna223]]*Tabela54[[#This Row],[Kolumna63]]</f>
        <v>452.830188679245</v>
      </c>
      <c r="AJ238" s="119" t="n">
        <v>220</v>
      </c>
      <c r="AK238" s="122" t="n">
        <f aca="false">Tabela54[[#This Row],[Kolumna34]]*12</f>
        <v>2640</v>
      </c>
      <c r="AL238" s="122" t="n">
        <f aca="false">Tabela54[[#This Row],[Kolumna32]]/4.2</f>
        <v>628.571428571429</v>
      </c>
      <c r="AM238" s="119" t="n">
        <f aca="false">Tabela54[[#This Row],[Kolumna322]]*Tabela54[[#This Row],[Kolumna63]]</f>
        <v>251.428571428571</v>
      </c>
      <c r="AN238" s="122"/>
      <c r="AO238" s="122" t="n">
        <f aca="false">Tabela54[[#This Row],[Kolumna5]]*Tabela54[[#This Row],[Kolumna63]]</f>
        <v>0</v>
      </c>
      <c r="AP238" s="53" t="n">
        <v>0.4</v>
      </c>
      <c r="AQ238" s="29"/>
      <c r="AR238" s="29"/>
      <c r="AS238" s="29"/>
      <c r="AT238" s="29"/>
    </row>
    <row r="239" customFormat="false" ht="26.25" hidden="false" customHeight="true" outlineLevel="0" collapsed="false">
      <c r="A239" s="25" t="n">
        <v>232</v>
      </c>
      <c r="B239" s="27" t="s">
        <v>241</v>
      </c>
      <c r="C239" s="49" t="s">
        <v>257</v>
      </c>
      <c r="D239" s="134"/>
      <c r="E239" s="135" t="n">
        <v>110</v>
      </c>
      <c r="F23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383.384397818182</v>
      </c>
      <c r="G239" s="135"/>
      <c r="H239" s="130" t="n">
        <v>4</v>
      </c>
      <c r="I239" s="26" t="n">
        <f aca="false">Tabela43[[#This Row],[Kolumna5]]*20700*0.27778</f>
        <v>23000.184</v>
      </c>
      <c r="J239" s="130"/>
      <c r="K239" s="130"/>
      <c r="L239" s="28" t="n">
        <f aca="false">Tabela43[[#This Row],[Kolumna8]]*0.000843882*40190*0.27778</f>
        <v>0</v>
      </c>
      <c r="M239" s="130" t="n">
        <f aca="false">70*12</f>
        <v>840</v>
      </c>
      <c r="N239" s="146" t="n">
        <f aca="false">Tabela43[[#This Row],[Kolumna84]]/2.55</f>
        <v>329.411764705882</v>
      </c>
      <c r="O239" s="28" t="n">
        <f aca="false">Tabela43[[#This Row],[Kolumna82]]*35.94*0.27778</f>
        <v>3288.65376</v>
      </c>
      <c r="P239" s="130"/>
      <c r="Q239" s="130"/>
      <c r="R239" s="130" t="n">
        <v>5</v>
      </c>
      <c r="S239" s="116" t="n">
        <f aca="false">Tabela43[[#This Row],[Kolumna92]]*0.65</f>
        <v>3.25</v>
      </c>
      <c r="T239" s="28" t="n">
        <f aca="false">Tabela43[[#This Row],[Kolumna10]]*15600*0.27778</f>
        <v>14083.446</v>
      </c>
      <c r="U239" s="130"/>
      <c r="V239" s="130"/>
      <c r="W239" s="130"/>
      <c r="X239" s="130" t="n">
        <v>150</v>
      </c>
      <c r="Y239" s="130" t="n">
        <f aca="false">Tabela43[[#This Row],[Kolumna1223]]*12</f>
        <v>1800</v>
      </c>
      <c r="Z239" s="28" t="n">
        <f aca="false">Tabela43[[#This Row],[Kolumna123]]/0.55</f>
        <v>3272.72727272727</v>
      </c>
      <c r="AA239" s="130"/>
      <c r="AB239" s="130" t="n">
        <v>50</v>
      </c>
      <c r="AC239" s="125" t="n">
        <f aca="false">Tabela54[[#This Row],[Kolumna22]]*12</f>
        <v>600</v>
      </c>
      <c r="AD239" s="122" t="n">
        <f aca="false">Tabela54[[#This Row],[Kolumna3]]/4.44</f>
        <v>135.135135135135</v>
      </c>
      <c r="AE239" s="120" t="n">
        <f aca="false">Tabela54[[#This Row],[Kolumna23]]*Tabela54[[#This Row],[Kolumna63]]</f>
        <v>67.5675675675676</v>
      </c>
      <c r="AF239" s="120" t="n">
        <v>120</v>
      </c>
      <c r="AG239" s="122" t="n">
        <f aca="false">Tabela54[[#This Row],[Kolumna12]]*12</f>
        <v>1440</v>
      </c>
      <c r="AH239" s="122" t="n">
        <f aca="false">Tabela54[[#This Row],[Kolumna222]]/1.59</f>
        <v>905.660377358491</v>
      </c>
      <c r="AI239" s="119" t="n">
        <f aca="false">Tabela54[[#This Row],[Kolumna223]]*Tabela54[[#This Row],[Kolumna63]]</f>
        <v>452.830188679245</v>
      </c>
      <c r="AJ239" s="119"/>
      <c r="AK239" s="122" t="n">
        <f aca="false">Tabela54[[#This Row],[Kolumna34]]*12</f>
        <v>0</v>
      </c>
      <c r="AL239" s="122" t="n">
        <f aca="false">Tabela54[[#This Row],[Kolumna32]]/4.2</f>
        <v>0</v>
      </c>
      <c r="AM239" s="119" t="n">
        <f aca="false">Tabela54[[#This Row],[Kolumna322]]*Tabela54[[#This Row],[Kolumna63]]</f>
        <v>0</v>
      </c>
      <c r="AN239" s="122"/>
      <c r="AO239" s="122" t="n">
        <f aca="false">Tabela54[[#This Row],[Kolumna5]]*Tabela54[[#This Row],[Kolumna63]]</f>
        <v>0</v>
      </c>
      <c r="AP239" s="53" t="n">
        <v>0.5</v>
      </c>
      <c r="AQ239" s="29"/>
      <c r="AR239" s="29"/>
      <c r="AS239" s="29"/>
      <c r="AT239" s="29"/>
    </row>
    <row r="240" customFormat="false" ht="27" hidden="false" customHeight="true" outlineLevel="0" collapsed="false">
      <c r="A240" s="40" t="n">
        <v>233</v>
      </c>
      <c r="B240" s="27" t="s">
        <v>241</v>
      </c>
      <c r="C240" s="49" t="s">
        <v>257</v>
      </c>
      <c r="D240" s="134"/>
      <c r="E240" s="135" t="n">
        <v>90</v>
      </c>
      <c r="F24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172.40868</v>
      </c>
      <c r="G240" s="135"/>
      <c r="H240" s="130" t="n">
        <v>2</v>
      </c>
      <c r="I240" s="26" t="n">
        <f aca="false">Tabela43[[#This Row],[Kolumna5]]*20700*0.27778</f>
        <v>11500.092</v>
      </c>
      <c r="J240" s="130"/>
      <c r="K240" s="130"/>
      <c r="L240" s="28" t="n">
        <f aca="false">Tabela43[[#This Row],[Kolumna8]]*0.000843882*40190*0.27778</f>
        <v>0</v>
      </c>
      <c r="M240" s="130"/>
      <c r="N240" s="146" t="n">
        <f aca="false">Tabela43[[#This Row],[Kolumna84]]/2.55</f>
        <v>0</v>
      </c>
      <c r="O240" s="28" t="n">
        <f aca="false">Tabela43[[#This Row],[Kolumna82]]*35.94*0.27778</f>
        <v>0</v>
      </c>
      <c r="P240" s="130" t="n">
        <v>6</v>
      </c>
      <c r="Q240" s="130"/>
      <c r="R240" s="130" t="n">
        <v>1</v>
      </c>
      <c r="S240" s="116" t="n">
        <f aca="false">Tabela43[[#This Row],[Kolumna92]]*0.65</f>
        <v>0.65</v>
      </c>
      <c r="T240" s="28" t="n">
        <f aca="false">Tabela43[[#This Row],[Kolumna10]]*15600*0.27778</f>
        <v>2816.6892</v>
      </c>
      <c r="U240" s="130"/>
      <c r="V240" s="130"/>
      <c r="W240" s="130"/>
      <c r="X240" s="130" t="n">
        <v>100</v>
      </c>
      <c r="Y240" s="130" t="n">
        <f aca="false">Tabela43[[#This Row],[Kolumna1223]]*12</f>
        <v>1200</v>
      </c>
      <c r="Z240" s="28" t="n">
        <f aca="false">Tabela43[[#This Row],[Kolumna123]]/0.55</f>
        <v>2181.81818181818</v>
      </c>
      <c r="AA240" s="130"/>
      <c r="AB240" s="130"/>
      <c r="AC240" s="125" t="n">
        <f aca="false">Tabela54[[#This Row],[Kolumna22]]*12</f>
        <v>0</v>
      </c>
      <c r="AD240" s="122" t="n">
        <f aca="false">Tabela54[[#This Row],[Kolumna3]]/4.44</f>
        <v>0</v>
      </c>
      <c r="AE240" s="120" t="n">
        <f aca="false">Tabela54[[#This Row],[Kolumna23]]*Tabela54[[#This Row],[Kolumna63]]</f>
        <v>0</v>
      </c>
      <c r="AF240" s="120"/>
      <c r="AG240" s="122" t="n">
        <f aca="false">Tabela54[[#This Row],[Kolumna12]]*12</f>
        <v>0</v>
      </c>
      <c r="AH240" s="122" t="n">
        <f aca="false">Tabela54[[#This Row],[Kolumna222]]/1.59</f>
        <v>0</v>
      </c>
      <c r="AI240" s="119" t="n">
        <f aca="false">Tabela54[[#This Row],[Kolumna223]]*Tabela54[[#This Row],[Kolumna63]]</f>
        <v>0</v>
      </c>
      <c r="AJ240" s="119"/>
      <c r="AK240" s="122" t="n">
        <f aca="false">Tabela54[[#This Row],[Kolumna34]]*12</f>
        <v>0</v>
      </c>
      <c r="AL240" s="122" t="n">
        <f aca="false">Tabela54[[#This Row],[Kolumna32]]/4.2</f>
        <v>0</v>
      </c>
      <c r="AM240" s="119" t="n">
        <f aca="false">Tabela54[[#This Row],[Kolumna322]]*Tabela54[[#This Row],[Kolumna63]]</f>
        <v>0</v>
      </c>
      <c r="AN240" s="122"/>
      <c r="AO240" s="122" t="n">
        <f aca="false">Tabela54[[#This Row],[Kolumna5]]*Tabela54[[#This Row],[Kolumna63]]</f>
        <v>0</v>
      </c>
      <c r="AP240" s="53" t="n">
        <v>0.7</v>
      </c>
      <c r="AQ240" s="29"/>
      <c r="AR240" s="29"/>
      <c r="AS240" s="29"/>
      <c r="AT240" s="29"/>
    </row>
    <row r="241" customFormat="false" ht="29.25" hidden="false" customHeight="true" outlineLevel="0" collapsed="false">
      <c r="A241" s="25" t="n">
        <v>234</v>
      </c>
      <c r="B241" s="27" t="s">
        <v>241</v>
      </c>
      <c r="C241" s="49" t="s">
        <v>257</v>
      </c>
      <c r="D241" s="134"/>
      <c r="E241" s="135" t="n">
        <v>200</v>
      </c>
      <c r="F24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175.9286904</v>
      </c>
      <c r="G241" s="135"/>
      <c r="H241" s="130"/>
      <c r="I241" s="26" t="n">
        <f aca="false">Tabela43[[#This Row],[Kolumna5]]*20700*0.27778</f>
        <v>0</v>
      </c>
      <c r="J241" s="130"/>
      <c r="K241" s="130"/>
      <c r="L241" s="28" t="n">
        <f aca="false">Tabela43[[#This Row],[Kolumna8]]*0.000843882*40190*0.27778</f>
        <v>0</v>
      </c>
      <c r="M241" s="130" t="n">
        <f aca="false">60*12</f>
        <v>720</v>
      </c>
      <c r="N241" s="146" t="n">
        <f aca="false">Tabela43[[#This Row],[Kolumna84]]/2.55</f>
        <v>282.352941176471</v>
      </c>
      <c r="O241" s="28" t="n">
        <f aca="false">Tabela43[[#This Row],[Kolumna82]]*35.94*0.27778</f>
        <v>2818.84608</v>
      </c>
      <c r="P241" s="130"/>
      <c r="Q241" s="130"/>
      <c r="R241" s="130" t="n">
        <v>10</v>
      </c>
      <c r="S241" s="116" t="n">
        <f aca="false">Tabela43[[#This Row],[Kolumna92]]*0.65</f>
        <v>6.5</v>
      </c>
      <c r="T241" s="28" t="n">
        <f aca="false">Tabela43[[#This Row],[Kolumna10]]*15600*0.27778</f>
        <v>28166.892</v>
      </c>
      <c r="U241" s="130"/>
      <c r="V241" s="130"/>
      <c r="W241" s="130"/>
      <c r="X241" s="130" t="n">
        <v>350</v>
      </c>
      <c r="Y241" s="130" t="n">
        <f aca="false">Tabela43[[#This Row],[Kolumna1223]]*12</f>
        <v>4200</v>
      </c>
      <c r="Z241" s="28" t="n">
        <f aca="false">Tabela43[[#This Row],[Kolumna123]]/0.55</f>
        <v>7636.36363636364</v>
      </c>
      <c r="AA241" s="130"/>
      <c r="AB241" s="130"/>
      <c r="AC241" s="125" t="n">
        <f aca="false">Tabela54[[#This Row],[Kolumna22]]*12</f>
        <v>0</v>
      </c>
      <c r="AD241" s="122" t="n">
        <f aca="false">Tabela54[[#This Row],[Kolumna3]]/4.44</f>
        <v>0</v>
      </c>
      <c r="AE241" s="120" t="n">
        <f aca="false">Tabela54[[#This Row],[Kolumna23]]*Tabela54[[#This Row],[Kolumna63]]</f>
        <v>0</v>
      </c>
      <c r="AF241" s="120" t="n">
        <v>100</v>
      </c>
      <c r="AG241" s="122" t="n">
        <f aca="false">Tabela54[[#This Row],[Kolumna12]]*12</f>
        <v>1200</v>
      </c>
      <c r="AH241" s="122" t="n">
        <f aca="false">Tabela54[[#This Row],[Kolumna222]]/1.59</f>
        <v>754.716981132076</v>
      </c>
      <c r="AI241" s="119" t="n">
        <f aca="false">Tabela54[[#This Row],[Kolumna223]]*Tabela54[[#This Row],[Kolumna63]]</f>
        <v>452.830188679245</v>
      </c>
      <c r="AJ241" s="119"/>
      <c r="AK241" s="122" t="n">
        <f aca="false">Tabela54[[#This Row],[Kolumna34]]*12</f>
        <v>0</v>
      </c>
      <c r="AL241" s="122" t="n">
        <f aca="false">Tabela54[[#This Row],[Kolumna32]]/4.2</f>
        <v>0</v>
      </c>
      <c r="AM241" s="119" t="n">
        <f aca="false">Tabela54[[#This Row],[Kolumna322]]*Tabela54[[#This Row],[Kolumna63]]</f>
        <v>0</v>
      </c>
      <c r="AN241" s="122"/>
      <c r="AO241" s="122" t="n">
        <f aca="false">Tabela54[[#This Row],[Kolumna5]]*Tabela54[[#This Row],[Kolumna63]]</f>
        <v>0</v>
      </c>
      <c r="AP241" s="53" t="n">
        <v>0.6</v>
      </c>
      <c r="AQ241" s="29"/>
      <c r="AR241" s="29"/>
      <c r="AS241" s="29"/>
      <c r="AT241" s="29"/>
    </row>
    <row r="242" customFormat="false" ht="27" hidden="false" customHeight="true" outlineLevel="0" collapsed="false">
      <c r="A242" s="25" t="n">
        <v>235</v>
      </c>
      <c r="B242" s="27" t="s">
        <v>241</v>
      </c>
      <c r="C242" s="49" t="s">
        <v>257</v>
      </c>
      <c r="D242" s="134"/>
      <c r="E242" s="135" t="n">
        <v>100</v>
      </c>
      <c r="F24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185.981688</v>
      </c>
      <c r="G242" s="135"/>
      <c r="H242" s="130" t="n">
        <v>2</v>
      </c>
      <c r="I242" s="26" t="n">
        <f aca="false">Tabela43[[#This Row],[Kolumna5]]*20700*0.27778</f>
        <v>11500.092</v>
      </c>
      <c r="J242" s="130"/>
      <c r="K242" s="130"/>
      <c r="L242" s="28" t="n">
        <f aca="false">Tabela43[[#This Row],[Kolumna8]]*0.000843882*40190*0.27778</f>
        <v>0</v>
      </c>
      <c r="M242" s="130" t="n">
        <v>1200</v>
      </c>
      <c r="N242" s="146" t="n">
        <f aca="false">Tabela43[[#This Row],[Kolumna84]]/2.55</f>
        <v>470.588235294118</v>
      </c>
      <c r="O242" s="28" t="n">
        <f aca="false">Tabela43[[#This Row],[Kolumna82]]*35.94*0.27778</f>
        <v>4698.0768</v>
      </c>
      <c r="P242" s="130"/>
      <c r="Q242" s="130"/>
      <c r="R242" s="130"/>
      <c r="S242" s="116" t="n">
        <f aca="false">Tabela43[[#This Row],[Kolumna92]]*0.65</f>
        <v>0</v>
      </c>
      <c r="T242" s="28" t="n">
        <f aca="false">Tabela43[[#This Row],[Kolumna10]]*15600*0.27778</f>
        <v>0</v>
      </c>
      <c r="U242" s="130"/>
      <c r="V242" s="130"/>
      <c r="W242" s="130"/>
      <c r="X242" s="130" t="n">
        <v>200</v>
      </c>
      <c r="Y242" s="130" t="n">
        <f aca="false">Tabela43[[#This Row],[Kolumna1223]]*12</f>
        <v>2400</v>
      </c>
      <c r="Z242" s="28" t="n">
        <f aca="false">Tabela43[[#This Row],[Kolumna123]]/0.55</f>
        <v>4363.63636363636</v>
      </c>
      <c r="AA242" s="130"/>
      <c r="AB242" s="130" t="n">
        <v>1000</v>
      </c>
      <c r="AC242" s="125" t="n">
        <f aca="false">Tabela54[[#This Row],[Kolumna22]]*12</f>
        <v>12000</v>
      </c>
      <c r="AD242" s="122" t="n">
        <f aca="false">Tabela54[[#This Row],[Kolumna3]]/4.44</f>
        <v>2702.7027027027</v>
      </c>
      <c r="AE242" s="120" t="n">
        <f aca="false">Tabela54[[#This Row],[Kolumna23]]*Tabela54[[#This Row],[Kolumna63]]</f>
        <v>540.540540540541</v>
      </c>
      <c r="AF242" s="120"/>
      <c r="AG242" s="122" t="n">
        <f aca="false">Tabela54[[#This Row],[Kolumna12]]*12</f>
        <v>0</v>
      </c>
      <c r="AH242" s="122" t="n">
        <f aca="false">Tabela54[[#This Row],[Kolumna222]]/1.59</f>
        <v>0</v>
      </c>
      <c r="AI242" s="119" t="n">
        <f aca="false">Tabela54[[#This Row],[Kolumna223]]*Tabela54[[#This Row],[Kolumna63]]</f>
        <v>0</v>
      </c>
      <c r="AJ242" s="119"/>
      <c r="AK242" s="122" t="n">
        <f aca="false">Tabela54[[#This Row],[Kolumna34]]*12</f>
        <v>0</v>
      </c>
      <c r="AL242" s="122" t="n">
        <f aca="false">Tabela54[[#This Row],[Kolumna32]]/4.2</f>
        <v>0</v>
      </c>
      <c r="AM242" s="119" t="n">
        <f aca="false">Tabela54[[#This Row],[Kolumna322]]*Tabela54[[#This Row],[Kolumna63]]</f>
        <v>0</v>
      </c>
      <c r="AN242" s="122"/>
      <c r="AO242" s="122" t="n">
        <f aca="false">Tabela54[[#This Row],[Kolumna5]]*Tabela54[[#This Row],[Kolumna63]]</f>
        <v>0</v>
      </c>
      <c r="AP242" s="53" t="n">
        <v>0.2</v>
      </c>
      <c r="AQ242" s="29"/>
      <c r="AR242" s="29"/>
      <c r="AS242" s="29"/>
      <c r="AT242" s="29"/>
    </row>
    <row r="243" customFormat="false" ht="30" hidden="false" customHeight="true" outlineLevel="0" collapsed="false">
      <c r="A243" s="40" t="n">
        <v>236</v>
      </c>
      <c r="B243" s="27" t="s">
        <v>241</v>
      </c>
      <c r="C243" s="49" t="s">
        <v>257</v>
      </c>
      <c r="D243" s="134"/>
      <c r="E243" s="135" t="n">
        <v>210</v>
      </c>
      <c r="F24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258.494017142857</v>
      </c>
      <c r="G243" s="135"/>
      <c r="H243" s="130" t="n">
        <v>5</v>
      </c>
      <c r="I243" s="26" t="n">
        <f aca="false">Tabela43[[#This Row],[Kolumna5]]*20700*0.27778</f>
        <v>28750.23</v>
      </c>
      <c r="J243" s="130"/>
      <c r="K243" s="130"/>
      <c r="L243" s="28" t="n">
        <f aca="false">Tabela43[[#This Row],[Kolumna8]]*0.000843882*40190*0.27778</f>
        <v>0</v>
      </c>
      <c r="M243" s="130"/>
      <c r="N243" s="146" t="n">
        <f aca="false">Tabela43[[#This Row],[Kolumna84]]/2.55</f>
        <v>0</v>
      </c>
      <c r="O243" s="28" t="n">
        <f aca="false">Tabela43[[#This Row],[Kolumna82]]*35.94*0.27778</f>
        <v>0</v>
      </c>
      <c r="P243" s="130" t="n">
        <v>6</v>
      </c>
      <c r="Q243" s="130"/>
      <c r="R243" s="130" t="n">
        <v>8</v>
      </c>
      <c r="S243" s="116" t="n">
        <f aca="false">Tabela43[[#This Row],[Kolumna92]]*0.65</f>
        <v>5.2</v>
      </c>
      <c r="T243" s="28" t="n">
        <f aca="false">Tabela43[[#This Row],[Kolumna10]]*15600*0.27778</f>
        <v>22533.5136</v>
      </c>
      <c r="U243" s="130"/>
      <c r="V243" s="130"/>
      <c r="W243" s="130"/>
      <c r="X243" s="130" t="n">
        <v>250</v>
      </c>
      <c r="Y243" s="130" t="n">
        <f aca="false">Tabela43[[#This Row],[Kolumna1223]]*12</f>
        <v>3000</v>
      </c>
      <c r="Z243" s="28" t="n">
        <f aca="false">Tabela43[[#This Row],[Kolumna123]]/0.55</f>
        <v>5454.54545454545</v>
      </c>
      <c r="AA243" s="130"/>
      <c r="AB243" s="130"/>
      <c r="AC243" s="125" t="n">
        <f aca="false">Tabela54[[#This Row],[Kolumna22]]*12</f>
        <v>0</v>
      </c>
      <c r="AD243" s="122" t="n">
        <f aca="false">Tabela54[[#This Row],[Kolumna3]]/4.44</f>
        <v>0</v>
      </c>
      <c r="AE243" s="120" t="n">
        <f aca="false">Tabela54[[#This Row],[Kolumna23]]*Tabela54[[#This Row],[Kolumna63]]</f>
        <v>0</v>
      </c>
      <c r="AF243" s="120"/>
      <c r="AG243" s="122" t="n">
        <f aca="false">Tabela54[[#This Row],[Kolumna12]]*12</f>
        <v>0</v>
      </c>
      <c r="AH243" s="122" t="n">
        <f aca="false">Tabela54[[#This Row],[Kolumna222]]/1.59</f>
        <v>0</v>
      </c>
      <c r="AI243" s="119" t="n">
        <f aca="false">Tabela54[[#This Row],[Kolumna223]]*Tabela54[[#This Row],[Kolumna63]]</f>
        <v>0</v>
      </c>
      <c r="AJ243" s="119" t="n">
        <v>600</v>
      </c>
      <c r="AK243" s="122" t="n">
        <f aca="false">Tabela54[[#This Row],[Kolumna34]]*12</f>
        <v>7200</v>
      </c>
      <c r="AL243" s="122" t="n">
        <f aca="false">Tabela54[[#This Row],[Kolumna32]]/4.2</f>
        <v>1714.28571428571</v>
      </c>
      <c r="AM243" s="119" t="n">
        <f aca="false">Tabela54[[#This Row],[Kolumna322]]*Tabela54[[#This Row],[Kolumna63]]</f>
        <v>514.285714285714</v>
      </c>
      <c r="AN243" s="122"/>
      <c r="AO243" s="122" t="n">
        <f aca="false">Tabela54[[#This Row],[Kolumna5]]*Tabela54[[#This Row],[Kolumna63]]</f>
        <v>0</v>
      </c>
      <c r="AP243" s="53" t="n">
        <v>0.3</v>
      </c>
      <c r="AQ243" s="29"/>
      <c r="AR243" s="29"/>
      <c r="AS243" s="29"/>
      <c r="AT243" s="29"/>
    </row>
    <row r="244" customFormat="false" ht="33.75" hidden="false" customHeight="true" outlineLevel="0" collapsed="false">
      <c r="A244" s="25" t="n">
        <v>237</v>
      </c>
      <c r="B244" s="27" t="s">
        <v>241</v>
      </c>
      <c r="C244" s="49" t="s">
        <v>259</v>
      </c>
      <c r="D244" s="134"/>
      <c r="E244" s="135" t="n">
        <v>220</v>
      </c>
      <c r="F24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282.157162909091</v>
      </c>
      <c r="G244" s="135"/>
      <c r="H244" s="130" t="n">
        <v>4</v>
      </c>
      <c r="I244" s="26" t="n">
        <f aca="false">Tabela43[[#This Row],[Kolumna5]]*20700*0.27778</f>
        <v>23000.184</v>
      </c>
      <c r="J244" s="130"/>
      <c r="K244" s="130"/>
      <c r="L244" s="28" t="n">
        <f aca="false">Tabela43[[#This Row],[Kolumna8]]*0.000843882*40190*0.27778</f>
        <v>0</v>
      </c>
      <c r="M244" s="130" t="n">
        <f aca="false">130*12</f>
        <v>1560</v>
      </c>
      <c r="N244" s="146" t="n">
        <f aca="false">Tabela43[[#This Row],[Kolumna84]]/2.55</f>
        <v>611.764705882353</v>
      </c>
      <c r="O244" s="28" t="n">
        <f aca="false">Tabela43[[#This Row],[Kolumna82]]*35.94*0.27778</f>
        <v>6107.49984</v>
      </c>
      <c r="P244" s="130"/>
      <c r="Q244" s="130"/>
      <c r="R244" s="130" t="n">
        <v>10</v>
      </c>
      <c r="S244" s="116" t="n">
        <f aca="false">Tabela43[[#This Row],[Kolumna92]]*0.65</f>
        <v>6.5</v>
      </c>
      <c r="T244" s="28" t="n">
        <f aca="false">Tabela43[[#This Row],[Kolumna10]]*15600*0.27778</f>
        <v>28166.892</v>
      </c>
      <c r="U244" s="130"/>
      <c r="V244" s="130"/>
      <c r="W244" s="130"/>
      <c r="X244" s="130" t="n">
        <v>400</v>
      </c>
      <c r="Y244" s="130" t="n">
        <f aca="false">Tabela43[[#This Row],[Kolumna1223]]*12</f>
        <v>4800</v>
      </c>
      <c r="Z244" s="28" t="n">
        <f aca="false">Tabela43[[#This Row],[Kolumna123]]/0.55</f>
        <v>8727.27272727273</v>
      </c>
      <c r="AA244" s="130"/>
      <c r="AB244" s="130"/>
      <c r="AC244" s="125" t="n">
        <f aca="false">Tabela54[[#This Row],[Kolumna22]]*12</f>
        <v>0</v>
      </c>
      <c r="AD244" s="122" t="n">
        <f aca="false">Tabela54[[#This Row],[Kolumna3]]/4.44</f>
        <v>0</v>
      </c>
      <c r="AE244" s="120" t="n">
        <f aca="false">Tabela54[[#This Row],[Kolumna23]]*Tabela54[[#This Row],[Kolumna63]]</f>
        <v>0</v>
      </c>
      <c r="AF244" s="120" t="n">
        <v>150</v>
      </c>
      <c r="AG244" s="122" t="n">
        <f aca="false">Tabela54[[#This Row],[Kolumna12]]*12</f>
        <v>1800</v>
      </c>
      <c r="AH244" s="122" t="n">
        <f aca="false">Tabela54[[#This Row],[Kolumna222]]/1.59</f>
        <v>1132.07547169811</v>
      </c>
      <c r="AI244" s="119" t="n">
        <f aca="false">Tabela54[[#This Row],[Kolumna223]]*Tabela54[[#This Row],[Kolumna63]]</f>
        <v>905.660377358491</v>
      </c>
      <c r="AJ244" s="119" t="n">
        <v>250</v>
      </c>
      <c r="AK244" s="122" t="n">
        <f aca="false">Tabela54[[#This Row],[Kolumna34]]*12</f>
        <v>3000</v>
      </c>
      <c r="AL244" s="122" t="n">
        <f aca="false">Tabela54[[#This Row],[Kolumna32]]/4.2</f>
        <v>714.285714285714</v>
      </c>
      <c r="AM244" s="119" t="n">
        <f aca="false">Tabela54[[#This Row],[Kolumna322]]*Tabela54[[#This Row],[Kolumna63]]</f>
        <v>571.428571428571</v>
      </c>
      <c r="AN244" s="122"/>
      <c r="AO244" s="122" t="n">
        <f aca="false">Tabela54[[#This Row],[Kolumna5]]*Tabela54[[#This Row],[Kolumna63]]</f>
        <v>0</v>
      </c>
      <c r="AP244" s="53" t="n">
        <v>0.8</v>
      </c>
      <c r="AQ244" s="29"/>
      <c r="AR244" s="29"/>
      <c r="AS244" s="29"/>
      <c r="AT244" s="29"/>
    </row>
    <row r="245" customFormat="false" ht="26.25" hidden="false" customHeight="true" outlineLevel="0" collapsed="false">
      <c r="A245" s="25" t="n">
        <v>238</v>
      </c>
      <c r="B245" s="27" t="s">
        <v>241</v>
      </c>
      <c r="C245" s="49" t="s">
        <v>259</v>
      </c>
      <c r="D245" s="134"/>
      <c r="E245" s="135" t="n">
        <v>120</v>
      </c>
      <c r="F24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714.1723</v>
      </c>
      <c r="G245" s="135"/>
      <c r="H245" s="130"/>
      <c r="I245" s="26" t="n">
        <f aca="false">Tabela43[[#This Row],[Kolumna5]]*20700*0.27778</f>
        <v>0</v>
      </c>
      <c r="J245" s="130"/>
      <c r="K245" s="130"/>
      <c r="L245" s="28" t="n">
        <f aca="false">Tabela43[[#This Row],[Kolumna8]]*0.000843882*40190*0.27778</f>
        <v>0</v>
      </c>
      <c r="M245" s="130"/>
      <c r="N245" s="146" t="n">
        <f aca="false">Tabela43[[#This Row],[Kolumna84]]/2.55</f>
        <v>0</v>
      </c>
      <c r="O245" s="28" t="n">
        <f aca="false">Tabela43[[#This Row],[Kolumna82]]*35.94*0.27778</f>
        <v>0</v>
      </c>
      <c r="P245" s="130" t="n">
        <v>6</v>
      </c>
      <c r="Q245" s="130"/>
      <c r="R245" s="130" t="n">
        <v>30</v>
      </c>
      <c r="S245" s="116" t="n">
        <f aca="false">Tabela43[[#This Row],[Kolumna92]]*0.65</f>
        <v>19.5</v>
      </c>
      <c r="T245" s="28" t="n">
        <f aca="false">Tabela43[[#This Row],[Kolumna10]]*15600*0.27778</f>
        <v>84500.676</v>
      </c>
      <c r="U245" s="130"/>
      <c r="V245" s="130"/>
      <c r="W245" s="130"/>
      <c r="X245" s="130" t="n">
        <v>100</v>
      </c>
      <c r="Y245" s="130" t="n">
        <f aca="false">Tabela43[[#This Row],[Kolumna1223]]*12</f>
        <v>1200</v>
      </c>
      <c r="Z245" s="28" t="n">
        <f aca="false">Tabela43[[#This Row],[Kolumna123]]/0.55</f>
        <v>2181.81818181818</v>
      </c>
      <c r="AA245" s="130"/>
      <c r="AB245" s="130"/>
      <c r="AC245" s="125" t="n">
        <f aca="false">Tabela54[[#This Row],[Kolumna22]]*12</f>
        <v>0</v>
      </c>
      <c r="AD245" s="122" t="n">
        <f aca="false">Tabela54[[#This Row],[Kolumna3]]/4.44</f>
        <v>0</v>
      </c>
      <c r="AE245" s="120" t="n">
        <f aca="false">Tabela54[[#This Row],[Kolumna23]]*Tabela54[[#This Row],[Kolumna63]]</f>
        <v>0</v>
      </c>
      <c r="AF245" s="120" t="n">
        <v>200</v>
      </c>
      <c r="AG245" s="122" t="n">
        <f aca="false">Tabela54[[#This Row],[Kolumna12]]*12</f>
        <v>2400</v>
      </c>
      <c r="AH245" s="122" t="n">
        <f aca="false">Tabela54[[#This Row],[Kolumna222]]/1.59</f>
        <v>1509.43396226415</v>
      </c>
      <c r="AI245" s="119" t="n">
        <f aca="false">Tabela54[[#This Row],[Kolumna223]]*Tabela54[[#This Row],[Kolumna63]]</f>
        <v>452.830188679245</v>
      </c>
      <c r="AJ245" s="119"/>
      <c r="AK245" s="122" t="n">
        <f aca="false">Tabela54[[#This Row],[Kolumna34]]*12</f>
        <v>0</v>
      </c>
      <c r="AL245" s="122" t="n">
        <f aca="false">Tabela54[[#This Row],[Kolumna32]]/4.2</f>
        <v>0</v>
      </c>
      <c r="AM245" s="119" t="n">
        <f aca="false">Tabela54[[#This Row],[Kolumna322]]*Tabela54[[#This Row],[Kolumna63]]</f>
        <v>0</v>
      </c>
      <c r="AN245" s="122"/>
      <c r="AO245" s="122" t="n">
        <f aca="false">Tabela54[[#This Row],[Kolumna5]]*Tabela54[[#This Row],[Kolumna63]]</f>
        <v>0</v>
      </c>
      <c r="AP245" s="53" t="n">
        <v>0.3</v>
      </c>
      <c r="AQ245" s="29"/>
      <c r="AR245" s="29"/>
      <c r="AS245" s="29"/>
      <c r="AT245" s="29"/>
    </row>
    <row r="246" customFormat="false" ht="30" hidden="false" customHeight="true" outlineLevel="0" collapsed="false">
      <c r="A246" s="40" t="n">
        <v>239</v>
      </c>
      <c r="B246" s="27" t="s">
        <v>241</v>
      </c>
      <c r="C246" s="49" t="s">
        <v>259</v>
      </c>
      <c r="D246" s="134"/>
      <c r="E246" s="135" t="n">
        <v>90</v>
      </c>
      <c r="F24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311.576353333333</v>
      </c>
      <c r="G246" s="135"/>
      <c r="H246" s="130" t="n">
        <v>2.5</v>
      </c>
      <c r="I246" s="26" t="n">
        <f aca="false">Tabela43[[#This Row],[Kolumna5]]*20700*0.27778</f>
        <v>14375.115</v>
      </c>
      <c r="J246" s="130"/>
      <c r="K246" s="130"/>
      <c r="L246" s="28" t="n">
        <f aca="false">Tabela43[[#This Row],[Kolumna8]]*0.000843882*40190*0.27778</f>
        <v>0</v>
      </c>
      <c r="M246" s="130"/>
      <c r="N246" s="146" t="n">
        <f aca="false">Tabela43[[#This Row],[Kolumna84]]/2.55</f>
        <v>0</v>
      </c>
      <c r="O246" s="28" t="n">
        <f aca="false">Tabela43[[#This Row],[Kolumna82]]*35.94*0.27778</f>
        <v>0</v>
      </c>
      <c r="P246" s="130"/>
      <c r="Q246" s="130"/>
      <c r="R246" s="130" t="n">
        <v>4</v>
      </c>
      <c r="S246" s="116" t="n">
        <f aca="false">Tabela43[[#This Row],[Kolumna92]]*0.65</f>
        <v>2.6</v>
      </c>
      <c r="T246" s="28" t="n">
        <f aca="false">Tabela43[[#This Row],[Kolumna10]]*15600*0.27778</f>
        <v>11266.7568</v>
      </c>
      <c r="U246" s="130"/>
      <c r="V246" s="130"/>
      <c r="W246" s="130"/>
      <c r="X246" s="130" t="n">
        <v>200</v>
      </c>
      <c r="Y246" s="130" t="n">
        <f aca="false">Tabela43[[#This Row],[Kolumna1223]]*12</f>
        <v>2400</v>
      </c>
      <c r="Z246" s="28" t="n">
        <f aca="false">Tabela43[[#This Row],[Kolumna123]]/0.55</f>
        <v>4363.63636363636</v>
      </c>
      <c r="AA246" s="130"/>
      <c r="AB246" s="130" t="n">
        <v>300</v>
      </c>
      <c r="AC246" s="125" t="n">
        <f aca="false">Tabela54[[#This Row],[Kolumna22]]*12</f>
        <v>3600</v>
      </c>
      <c r="AD246" s="122" t="n">
        <f aca="false">Tabela54[[#This Row],[Kolumna3]]/4.44</f>
        <v>810.810810810811</v>
      </c>
      <c r="AE246" s="120" t="n">
        <f aca="false">Tabela54[[#This Row],[Kolumna23]]*Tabela54[[#This Row],[Kolumna63]]</f>
        <v>81.0810810810811</v>
      </c>
      <c r="AF246" s="120"/>
      <c r="AG246" s="122" t="n">
        <f aca="false">Tabela54[[#This Row],[Kolumna12]]*12</f>
        <v>0</v>
      </c>
      <c r="AH246" s="122" t="n">
        <f aca="false">Tabela54[[#This Row],[Kolumna222]]/1.59</f>
        <v>0</v>
      </c>
      <c r="AI246" s="119" t="n">
        <f aca="false">Tabela54[[#This Row],[Kolumna223]]*Tabela54[[#This Row],[Kolumna63]]</f>
        <v>0</v>
      </c>
      <c r="AJ246" s="119" t="n">
        <v>350</v>
      </c>
      <c r="AK246" s="122" t="n">
        <f aca="false">Tabela54[[#This Row],[Kolumna34]]*12</f>
        <v>4200</v>
      </c>
      <c r="AL246" s="122" t="n">
        <f aca="false">Tabela54[[#This Row],[Kolumna32]]/4.2</f>
        <v>1000</v>
      </c>
      <c r="AM246" s="119" t="n">
        <f aca="false">Tabela54[[#This Row],[Kolumna322]]*Tabela54[[#This Row],[Kolumna63]]</f>
        <v>100</v>
      </c>
      <c r="AN246" s="122"/>
      <c r="AO246" s="122" t="n">
        <f aca="false">Tabela54[[#This Row],[Kolumna5]]*Tabela54[[#This Row],[Kolumna63]]</f>
        <v>0</v>
      </c>
      <c r="AP246" s="53" t="n">
        <v>0.1</v>
      </c>
      <c r="AQ246" s="29"/>
      <c r="AR246" s="29"/>
      <c r="AS246" s="29"/>
      <c r="AT246" s="29"/>
    </row>
    <row r="247" customFormat="false" ht="30.75" hidden="false" customHeight="true" outlineLevel="0" collapsed="false">
      <c r="A247" s="25" t="n">
        <v>240</v>
      </c>
      <c r="B247" s="27" t="s">
        <v>241</v>
      </c>
      <c r="C247" s="49" t="s">
        <v>259</v>
      </c>
      <c r="D247" s="134"/>
      <c r="E247" s="135" t="n">
        <v>160</v>
      </c>
      <c r="F24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155.0219775</v>
      </c>
      <c r="G247" s="135"/>
      <c r="H247" s="130" t="n">
        <v>3</v>
      </c>
      <c r="I247" s="26" t="n">
        <f aca="false">Tabela43[[#This Row],[Kolumna5]]*20700*0.27778</f>
        <v>17250.138</v>
      </c>
      <c r="J247" s="130"/>
      <c r="K247" s="130"/>
      <c r="L247" s="28" t="n">
        <f aca="false">Tabela43[[#This Row],[Kolumna8]]*0.000843882*40190*0.27778</f>
        <v>0</v>
      </c>
      <c r="M247" s="130"/>
      <c r="N247" s="146" t="n">
        <f aca="false">Tabela43[[#This Row],[Kolumna84]]/2.55</f>
        <v>0</v>
      </c>
      <c r="O247" s="28" t="n">
        <f aca="false">Tabela43[[#This Row],[Kolumna82]]*35.94*0.27778</f>
        <v>0</v>
      </c>
      <c r="P247" s="130" t="n">
        <v>6</v>
      </c>
      <c r="Q247" s="130"/>
      <c r="R247" s="130" t="n">
        <v>2</v>
      </c>
      <c r="S247" s="116" t="n">
        <f aca="false">Tabela43[[#This Row],[Kolumna92]]*0.65</f>
        <v>1.3</v>
      </c>
      <c r="T247" s="28" t="n">
        <f aca="false">Tabela43[[#This Row],[Kolumna10]]*15600*0.27778</f>
        <v>5633.3784</v>
      </c>
      <c r="U247" s="130"/>
      <c r="V247" s="130"/>
      <c r="W247" s="130"/>
      <c r="X247" s="130" t="n">
        <v>160</v>
      </c>
      <c r="Y247" s="130" t="n">
        <f aca="false">Tabela43[[#This Row],[Kolumna1223]]*12</f>
        <v>1920</v>
      </c>
      <c r="Z247" s="28" t="n">
        <f aca="false">Tabela43[[#This Row],[Kolumna123]]/0.55</f>
        <v>3490.90909090909</v>
      </c>
      <c r="AA247" s="125"/>
      <c r="AB247" s="125" t="n">
        <v>200</v>
      </c>
      <c r="AC247" s="125" t="n">
        <f aca="false">Tabela54[[#This Row],[Kolumna22]]*12</f>
        <v>2400</v>
      </c>
      <c r="AD247" s="122" t="n">
        <f aca="false">Tabela54[[#This Row],[Kolumna3]]/4.44</f>
        <v>540.540540540541</v>
      </c>
      <c r="AE247" s="120" t="n">
        <f aca="false">Tabela54[[#This Row],[Kolumna23]]*Tabela54[[#This Row],[Kolumna63]]</f>
        <v>270.27027027027</v>
      </c>
      <c r="AF247" s="120" t="n">
        <v>150</v>
      </c>
      <c r="AG247" s="122" t="n">
        <f aca="false">Tabela54[[#This Row],[Kolumna12]]*12</f>
        <v>1800</v>
      </c>
      <c r="AH247" s="122" t="n">
        <f aca="false">Tabela54[[#This Row],[Kolumna222]]/1.59</f>
        <v>1132.07547169811</v>
      </c>
      <c r="AI247" s="119" t="n">
        <f aca="false">Tabela54[[#This Row],[Kolumna223]]*Tabela54[[#This Row],[Kolumna63]]</f>
        <v>566.037735849057</v>
      </c>
      <c r="AJ247" s="119"/>
      <c r="AK247" s="122" t="n">
        <f aca="false">Tabela54[[#This Row],[Kolumna34]]*12</f>
        <v>0</v>
      </c>
      <c r="AL247" s="122" t="n">
        <f aca="false">Tabela54[[#This Row],[Kolumna32]]/4.2</f>
        <v>0</v>
      </c>
      <c r="AM247" s="119" t="n">
        <f aca="false">Tabela54[[#This Row],[Kolumna322]]*Tabela54[[#This Row],[Kolumna63]]</f>
        <v>0</v>
      </c>
      <c r="AN247" s="122"/>
      <c r="AO247" s="122" t="n">
        <f aca="false">Tabela54[[#This Row],[Kolumna5]]*Tabela54[[#This Row],[Kolumna63]]</f>
        <v>0</v>
      </c>
      <c r="AP247" s="53" t="n">
        <v>0.5</v>
      </c>
      <c r="AQ247" s="29"/>
      <c r="AR247" s="29"/>
      <c r="AS247" s="29"/>
      <c r="AT247" s="29"/>
    </row>
    <row r="248" customFormat="false" ht="32.25" hidden="false" customHeight="true" outlineLevel="0" collapsed="false">
      <c r="A248" s="25" t="n">
        <v>241</v>
      </c>
      <c r="B248" s="27" t="s">
        <v>241</v>
      </c>
      <c r="C248" s="49" t="s">
        <v>259</v>
      </c>
      <c r="D248" s="134"/>
      <c r="E248" s="135" t="n">
        <v>130</v>
      </c>
      <c r="F24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237.009275076923</v>
      </c>
      <c r="G248" s="135"/>
      <c r="H248" s="130"/>
      <c r="I248" s="26" t="n">
        <f aca="false">Tabela43[[#This Row],[Kolumna5]]*20700*0.27778</f>
        <v>0</v>
      </c>
      <c r="J248" s="130"/>
      <c r="K248" s="130"/>
      <c r="L248" s="28" t="n">
        <f aca="false">Tabela43[[#This Row],[Kolumna8]]*0.000843882*40190*0.27778</f>
        <v>0</v>
      </c>
      <c r="M248" s="130" t="n">
        <f aca="false">120*12</f>
        <v>1440</v>
      </c>
      <c r="N248" s="146" t="n">
        <f aca="false">Tabela43[[#This Row],[Kolumna84]]/2.55</f>
        <v>564.705882352941</v>
      </c>
      <c r="O248" s="28" t="n">
        <f aca="false">Tabela43[[#This Row],[Kolumna82]]*35.94*0.27778</f>
        <v>5637.69216</v>
      </c>
      <c r="P248" s="130"/>
      <c r="Q248" s="130"/>
      <c r="R248" s="130" t="n">
        <v>8</v>
      </c>
      <c r="S248" s="116" t="n">
        <f aca="false">Tabela43[[#This Row],[Kolumna92]]*0.65</f>
        <v>5.2</v>
      </c>
      <c r="T248" s="28" t="n">
        <f aca="false">Tabela43[[#This Row],[Kolumna10]]*15600*0.27778</f>
        <v>22533.5136</v>
      </c>
      <c r="U248" s="130"/>
      <c r="V248" s="130"/>
      <c r="W248" s="130"/>
      <c r="X248" s="130" t="n">
        <v>220</v>
      </c>
      <c r="Y248" s="130" t="n">
        <f aca="false">Tabela43[[#This Row],[Kolumna1223]]*12</f>
        <v>2640</v>
      </c>
      <c r="Z248" s="28" t="n">
        <f aca="false">Tabela43[[#This Row],[Kolumna123]]/0.55</f>
        <v>4800</v>
      </c>
      <c r="AA248" s="125"/>
      <c r="AB248" s="125" t="n">
        <v>400</v>
      </c>
      <c r="AC248" s="125" t="n">
        <f aca="false">Tabela54[[#This Row],[Kolumna22]]*12</f>
        <v>4800</v>
      </c>
      <c r="AD248" s="122" t="n">
        <f aca="false">Tabela54[[#This Row],[Kolumna3]]/4.44</f>
        <v>1081.08108108108</v>
      </c>
      <c r="AE248" s="120" t="n">
        <f aca="false">Tabela54[[#This Row],[Kolumna23]]*Tabela54[[#This Row],[Kolumna63]]</f>
        <v>648.648648648649</v>
      </c>
      <c r="AF248" s="120"/>
      <c r="AG248" s="122" t="n">
        <f aca="false">Tabela54[[#This Row],[Kolumna12]]*12</f>
        <v>0</v>
      </c>
      <c r="AH248" s="122" t="n">
        <f aca="false">Tabela54[[#This Row],[Kolumna222]]/1.59</f>
        <v>0</v>
      </c>
      <c r="AI248" s="119" t="n">
        <f aca="false">Tabela54[[#This Row],[Kolumna223]]*Tabela54[[#This Row],[Kolumna63]]</f>
        <v>0</v>
      </c>
      <c r="AJ248" s="119"/>
      <c r="AK248" s="122" t="n">
        <f aca="false">Tabela54[[#This Row],[Kolumna34]]*12</f>
        <v>0</v>
      </c>
      <c r="AL248" s="122" t="n">
        <f aca="false">Tabela54[[#This Row],[Kolumna32]]/4.2</f>
        <v>0</v>
      </c>
      <c r="AM248" s="119" t="n">
        <f aca="false">Tabela54[[#This Row],[Kolumna322]]*Tabela54[[#This Row],[Kolumna63]]</f>
        <v>0</v>
      </c>
      <c r="AN248" s="122"/>
      <c r="AO248" s="122" t="n">
        <f aca="false">Tabela54[[#This Row],[Kolumna5]]*Tabela54[[#This Row],[Kolumna63]]</f>
        <v>0</v>
      </c>
      <c r="AP248" s="53" t="n">
        <v>0.6</v>
      </c>
      <c r="AQ248" s="29"/>
      <c r="AR248" s="29"/>
      <c r="AS248" s="29"/>
      <c r="AT248" s="29"/>
    </row>
    <row r="249" customFormat="false" ht="30" hidden="false" customHeight="true" outlineLevel="0" collapsed="false">
      <c r="A249" s="40" t="n">
        <v>242</v>
      </c>
      <c r="B249" s="27" t="s">
        <v>241</v>
      </c>
      <c r="C249" s="49" t="s">
        <v>259</v>
      </c>
      <c r="D249" s="134"/>
      <c r="E249" s="135" t="n">
        <v>120</v>
      </c>
      <c r="F24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397.44748</v>
      </c>
      <c r="G249" s="135"/>
      <c r="H249" s="130" t="n">
        <v>4</v>
      </c>
      <c r="I249" s="26" t="n">
        <f aca="false">Tabela43[[#This Row],[Kolumna5]]*20700*0.27778</f>
        <v>23000.184</v>
      </c>
      <c r="J249" s="130"/>
      <c r="K249" s="130"/>
      <c r="L249" s="28" t="n">
        <f aca="false">Tabela43[[#This Row],[Kolumna8]]*0.000843882*40190*0.27778</f>
        <v>0</v>
      </c>
      <c r="M249" s="130"/>
      <c r="N249" s="146" t="n">
        <f aca="false">Tabela43[[#This Row],[Kolumna84]]/2.55</f>
        <v>0</v>
      </c>
      <c r="O249" s="28" t="n">
        <f aca="false">Tabela43[[#This Row],[Kolumna82]]*35.94*0.27778</f>
        <v>0</v>
      </c>
      <c r="P249" s="130" t="n">
        <v>6</v>
      </c>
      <c r="Q249" s="130"/>
      <c r="R249" s="130" t="n">
        <v>8</v>
      </c>
      <c r="S249" s="116" t="n">
        <f aca="false">Tabela43[[#This Row],[Kolumna92]]*0.65</f>
        <v>5.2</v>
      </c>
      <c r="T249" s="28" t="n">
        <f aca="false">Tabela43[[#This Row],[Kolumna10]]*15600*0.27778</f>
        <v>22533.5136</v>
      </c>
      <c r="U249" s="130"/>
      <c r="V249" s="130"/>
      <c r="W249" s="130"/>
      <c r="X249" s="130" t="n">
        <v>180</v>
      </c>
      <c r="Y249" s="130" t="n">
        <f aca="false">Tabela43[[#This Row],[Kolumna1223]]*12</f>
        <v>2160</v>
      </c>
      <c r="Z249" s="28" t="n">
        <f aca="false">Tabela43[[#This Row],[Kolumna123]]/0.55</f>
        <v>3927.27272727273</v>
      </c>
      <c r="AA249" s="125"/>
      <c r="AB249" s="125"/>
      <c r="AC249" s="125" t="n">
        <f aca="false">Tabela54[[#This Row],[Kolumna22]]*12</f>
        <v>0</v>
      </c>
      <c r="AD249" s="122" t="n">
        <f aca="false">Tabela54[[#This Row],[Kolumna3]]/4.44</f>
        <v>0</v>
      </c>
      <c r="AE249" s="120" t="n">
        <f aca="false">Tabela54[[#This Row],[Kolumna23]]*Tabela54[[#This Row],[Kolumna63]]</f>
        <v>0</v>
      </c>
      <c r="AF249" s="120"/>
      <c r="AG249" s="122" t="n">
        <f aca="false">Tabela54[[#This Row],[Kolumna12]]*12</f>
        <v>0</v>
      </c>
      <c r="AH249" s="122" t="n">
        <f aca="false">Tabela54[[#This Row],[Kolumna222]]/1.59</f>
        <v>0</v>
      </c>
      <c r="AI249" s="119" t="n">
        <f aca="false">Tabela54[[#This Row],[Kolumna223]]*Tabela54[[#This Row],[Kolumna63]]</f>
        <v>0</v>
      </c>
      <c r="AJ249" s="119" t="n">
        <v>200</v>
      </c>
      <c r="AK249" s="122" t="n">
        <f aca="false">Tabela54[[#This Row],[Kolumna34]]*12</f>
        <v>2400</v>
      </c>
      <c r="AL249" s="122" t="n">
        <f aca="false">Tabela54[[#This Row],[Kolumna32]]/4.2</f>
        <v>571.428571428571</v>
      </c>
      <c r="AM249" s="119" t="n">
        <f aca="false">Tabela54[[#This Row],[Kolumna322]]*Tabela54[[#This Row],[Kolumna63]]</f>
        <v>457.142857142857</v>
      </c>
      <c r="AN249" s="122"/>
      <c r="AO249" s="122" t="n">
        <f aca="false">Tabela54[[#This Row],[Kolumna5]]*Tabela54[[#This Row],[Kolumna63]]</f>
        <v>0</v>
      </c>
      <c r="AP249" s="53" t="n">
        <v>0.8</v>
      </c>
      <c r="AQ249" s="29"/>
      <c r="AR249" s="29"/>
      <c r="AS249" s="29"/>
      <c r="AT249" s="29"/>
    </row>
    <row r="250" customFormat="false" ht="29.25" hidden="false" customHeight="true" outlineLevel="0" collapsed="false">
      <c r="A250" s="25" t="n">
        <v>243</v>
      </c>
      <c r="B250" s="27" t="s">
        <v>241</v>
      </c>
      <c r="C250" s="49" t="s">
        <v>259</v>
      </c>
      <c r="D250" s="134"/>
      <c r="E250" s="135" t="n">
        <v>170</v>
      </c>
      <c r="F25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347.208547058824</v>
      </c>
      <c r="G250" s="135"/>
      <c r="H250" s="130" t="n">
        <v>2.5</v>
      </c>
      <c r="I250" s="26" t="n">
        <f aca="false">Tabela43[[#This Row],[Kolumna5]]*20700*0.27778</f>
        <v>14375.115</v>
      </c>
      <c r="J250" s="130"/>
      <c r="K250" s="130"/>
      <c r="L250" s="28" t="n">
        <f aca="false">Tabela43[[#This Row],[Kolumna8]]*0.000843882*40190*0.27778</f>
        <v>0</v>
      </c>
      <c r="M250" s="130"/>
      <c r="N250" s="146" t="n">
        <f aca="false">Tabela43[[#This Row],[Kolumna84]]/2.55</f>
        <v>0</v>
      </c>
      <c r="O250" s="28" t="n">
        <f aca="false">Tabela43[[#This Row],[Kolumna82]]*35.94*0.27778</f>
        <v>0</v>
      </c>
      <c r="P250" s="130" t="n">
        <v>6</v>
      </c>
      <c r="Q250" s="130"/>
      <c r="R250" s="130" t="n">
        <v>15</v>
      </c>
      <c r="S250" s="116" t="n">
        <f aca="false">Tabela43[[#This Row],[Kolumna92]]*0.65</f>
        <v>9.75</v>
      </c>
      <c r="T250" s="28" t="n">
        <f aca="false">Tabela43[[#This Row],[Kolumna10]]*15600*0.27778</f>
        <v>42250.338</v>
      </c>
      <c r="U250" s="130"/>
      <c r="V250" s="130"/>
      <c r="W250" s="130"/>
      <c r="X250" s="130" t="n">
        <v>200</v>
      </c>
      <c r="Y250" s="130" t="n">
        <f aca="false">Tabela43[[#This Row],[Kolumna1223]]*12</f>
        <v>2400</v>
      </c>
      <c r="Z250" s="28" t="n">
        <f aca="false">Tabela43[[#This Row],[Kolumna123]]/0.55</f>
        <v>4363.63636363636</v>
      </c>
      <c r="AA250" s="125"/>
      <c r="AB250" s="125" t="n">
        <v>600</v>
      </c>
      <c r="AC250" s="125" t="n">
        <f aca="false">Tabela54[[#This Row],[Kolumna22]]*12</f>
        <v>7200</v>
      </c>
      <c r="AD250" s="122" t="n">
        <f aca="false">Tabela54[[#This Row],[Kolumna3]]/4.44</f>
        <v>1621.62162162162</v>
      </c>
      <c r="AE250" s="120" t="n">
        <f aca="false">Tabela54[[#This Row],[Kolumna23]]*Tabela54[[#This Row],[Kolumna63]]</f>
        <v>567.567567567567</v>
      </c>
      <c r="AF250" s="120"/>
      <c r="AG250" s="122" t="n">
        <f aca="false">Tabela54[[#This Row],[Kolumna12]]*12</f>
        <v>0</v>
      </c>
      <c r="AH250" s="122" t="n">
        <f aca="false">Tabela54[[#This Row],[Kolumna222]]/1.59</f>
        <v>0</v>
      </c>
      <c r="AI250" s="119" t="n">
        <f aca="false">Tabela54[[#This Row],[Kolumna223]]*Tabela54[[#This Row],[Kolumna63]]</f>
        <v>0</v>
      </c>
      <c r="AJ250" s="119" t="n">
        <v>250</v>
      </c>
      <c r="AK250" s="122" t="n">
        <f aca="false">Tabela54[[#This Row],[Kolumna34]]*12</f>
        <v>3000</v>
      </c>
      <c r="AL250" s="122" t="n">
        <f aca="false">Tabela54[[#This Row],[Kolumna32]]/4.2</f>
        <v>714.285714285714</v>
      </c>
      <c r="AM250" s="119" t="n">
        <f aca="false">Tabela54[[#This Row],[Kolumna322]]*Tabela54[[#This Row],[Kolumna63]]</f>
        <v>250</v>
      </c>
      <c r="AN250" s="122"/>
      <c r="AO250" s="122" t="n">
        <f aca="false">Tabela54[[#This Row],[Kolumna5]]*Tabela54[[#This Row],[Kolumna63]]</f>
        <v>0</v>
      </c>
      <c r="AP250" s="53" t="n">
        <v>0.35</v>
      </c>
      <c r="AQ250" s="29"/>
      <c r="AR250" s="29"/>
      <c r="AS250" s="29"/>
      <c r="AT250" s="29"/>
    </row>
    <row r="251" customFormat="false" ht="30.75" hidden="false" customHeight="true" outlineLevel="0" collapsed="false">
      <c r="A251" s="25" t="n">
        <v>244</v>
      </c>
      <c r="B251" s="27" t="s">
        <v>241</v>
      </c>
      <c r="C251" s="49" t="s">
        <v>259</v>
      </c>
      <c r="D251" s="134"/>
      <c r="E251" s="135" t="n">
        <v>75</v>
      </c>
      <c r="F25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258.6920992</v>
      </c>
      <c r="G251" s="135"/>
      <c r="H251" s="130"/>
      <c r="I251" s="26" t="n">
        <f aca="false">Tabela43[[#This Row],[Kolumna5]]*20700*0.27778</f>
        <v>0</v>
      </c>
      <c r="J251" s="130"/>
      <c r="K251" s="130"/>
      <c r="L251" s="28" t="n">
        <f aca="false">Tabela43[[#This Row],[Kolumna8]]*0.000843882*40190*0.27778</f>
        <v>0</v>
      </c>
      <c r="M251" s="130" t="n">
        <f aca="false">80*12</f>
        <v>960</v>
      </c>
      <c r="N251" s="146" t="n">
        <f aca="false">Tabela43[[#This Row],[Kolumna84]]/2.55</f>
        <v>376.470588235294</v>
      </c>
      <c r="O251" s="28" t="n">
        <f aca="false">Tabela43[[#This Row],[Kolumna82]]*35.94*0.27778</f>
        <v>3758.46144</v>
      </c>
      <c r="P251" s="130"/>
      <c r="Q251" s="130"/>
      <c r="R251" s="130" t="n">
        <v>5</v>
      </c>
      <c r="S251" s="116" t="n">
        <f aca="false">Tabela43[[#This Row],[Kolumna92]]*0.65</f>
        <v>3.25</v>
      </c>
      <c r="T251" s="28" t="n">
        <f aca="false">Tabela43[[#This Row],[Kolumna10]]*15600*0.27778</f>
        <v>14083.446</v>
      </c>
      <c r="U251" s="130"/>
      <c r="V251" s="130"/>
      <c r="W251" s="130"/>
      <c r="X251" s="130" t="n">
        <v>130</v>
      </c>
      <c r="Y251" s="130" t="n">
        <f aca="false">Tabela43[[#This Row],[Kolumna1223]]*12</f>
        <v>1560</v>
      </c>
      <c r="Z251" s="28" t="n">
        <f aca="false">Tabela43[[#This Row],[Kolumna123]]/0.55</f>
        <v>2836.36363636364</v>
      </c>
      <c r="AA251" s="125"/>
      <c r="AB251" s="125"/>
      <c r="AC251" s="125" t="n">
        <f aca="false">Tabela54[[#This Row],[Kolumna22]]*12</f>
        <v>0</v>
      </c>
      <c r="AD251" s="122" t="n">
        <f aca="false">Tabela54[[#This Row],[Kolumna3]]/4.44</f>
        <v>0</v>
      </c>
      <c r="AE251" s="120" t="n">
        <f aca="false">Tabela54[[#This Row],[Kolumna23]]*Tabela54[[#This Row],[Kolumna63]]</f>
        <v>0</v>
      </c>
      <c r="AF251" s="120" t="n">
        <v>200</v>
      </c>
      <c r="AG251" s="122" t="n">
        <f aca="false">Tabela54[[#This Row],[Kolumna12]]*12</f>
        <v>2400</v>
      </c>
      <c r="AH251" s="122" t="n">
        <f aca="false">Tabela54[[#This Row],[Kolumna222]]/1.59</f>
        <v>1509.43396226415</v>
      </c>
      <c r="AI251" s="119" t="n">
        <f aca="false">Tabela54[[#This Row],[Kolumna223]]*Tabela54[[#This Row],[Kolumna63]]</f>
        <v>754.716981132076</v>
      </c>
      <c r="AJ251" s="119"/>
      <c r="AK251" s="122" t="n">
        <f aca="false">Tabela54[[#This Row],[Kolumna34]]*12</f>
        <v>0</v>
      </c>
      <c r="AL251" s="122" t="n">
        <f aca="false">Tabela54[[#This Row],[Kolumna32]]/4.2</f>
        <v>0</v>
      </c>
      <c r="AM251" s="119" t="n">
        <f aca="false">Tabela54[[#This Row],[Kolumna322]]*Tabela54[[#This Row],[Kolumna63]]</f>
        <v>0</v>
      </c>
      <c r="AN251" s="122"/>
      <c r="AO251" s="122" t="n">
        <f aca="false">Tabela54[[#This Row],[Kolumna5]]*Tabela54[[#This Row],[Kolumna63]]</f>
        <v>0</v>
      </c>
      <c r="AP251" s="53" t="n">
        <v>0.5</v>
      </c>
      <c r="AQ251" s="29"/>
      <c r="AR251" s="29"/>
      <c r="AS251" s="29"/>
      <c r="AT251" s="29"/>
    </row>
    <row r="252" customFormat="false" ht="30" hidden="false" customHeight="true" outlineLevel="0" collapsed="false">
      <c r="A252" s="40" t="n">
        <v>245</v>
      </c>
      <c r="B252" s="27" t="s">
        <v>241</v>
      </c>
      <c r="C252" s="49" t="s">
        <v>242</v>
      </c>
      <c r="D252" s="134"/>
      <c r="E252" s="135" t="n">
        <v>60</v>
      </c>
      <c r="F25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276.7241</v>
      </c>
      <c r="G252" s="135"/>
      <c r="H252" s="130"/>
      <c r="I252" s="26" t="n">
        <f aca="false">Tabela43[[#This Row],[Kolumna5]]*20700*0.27778</f>
        <v>0</v>
      </c>
      <c r="J252" s="130"/>
      <c r="K252" s="130"/>
      <c r="L252" s="28" t="n">
        <f aca="false">Tabela43[[#This Row],[Kolumna8]]*0.000843882*40190*0.27778</f>
        <v>0</v>
      </c>
      <c r="M252" s="130"/>
      <c r="N252" s="146" t="n">
        <f aca="false">Tabela43[[#This Row],[Kolumna84]]/2.55</f>
        <v>0</v>
      </c>
      <c r="O252" s="28" t="n">
        <f aca="false">Tabela43[[#This Row],[Kolumna82]]*35.94*0.27778</f>
        <v>0</v>
      </c>
      <c r="P252" s="130" t="n">
        <v>6</v>
      </c>
      <c r="Q252" s="130"/>
      <c r="R252" s="130" t="n">
        <v>5</v>
      </c>
      <c r="S252" s="116" t="n">
        <f aca="false">Tabela43[[#This Row],[Kolumna92]]*0.65</f>
        <v>3.25</v>
      </c>
      <c r="T252" s="28" t="n">
        <f aca="false">Tabela43[[#This Row],[Kolumna10]]*15600*0.27778</f>
        <v>14083.446</v>
      </c>
      <c r="U252" s="130"/>
      <c r="V252" s="130"/>
      <c r="W252" s="130"/>
      <c r="X252" s="130" t="n">
        <v>210</v>
      </c>
      <c r="Y252" s="130" t="n">
        <f aca="false">Tabela43[[#This Row],[Kolumna1223]]*12</f>
        <v>2520</v>
      </c>
      <c r="Z252" s="28" t="n">
        <f aca="false">Tabela43[[#This Row],[Kolumna123]]/0.55</f>
        <v>4581.81818181818</v>
      </c>
      <c r="AA252" s="125"/>
      <c r="AB252" s="125" t="n">
        <v>500</v>
      </c>
      <c r="AC252" s="125" t="n">
        <f aca="false">Tabela54[[#This Row],[Kolumna22]]*12</f>
        <v>6000</v>
      </c>
      <c r="AD252" s="122" t="n">
        <f aca="false">Tabela54[[#This Row],[Kolumna3]]/4.44</f>
        <v>1351.35135135135</v>
      </c>
      <c r="AE252" s="120" t="n">
        <f aca="false">Tabela54[[#This Row],[Kolumna23]]*Tabela54[[#This Row],[Kolumna63]]</f>
        <v>540.540540540541</v>
      </c>
      <c r="AF252" s="120"/>
      <c r="AG252" s="122" t="n">
        <f aca="false">Tabela54[[#This Row],[Kolumna12]]*12</f>
        <v>0</v>
      </c>
      <c r="AH252" s="122" t="n">
        <f aca="false">Tabela54[[#This Row],[Kolumna222]]/1.59</f>
        <v>0</v>
      </c>
      <c r="AI252" s="119" t="n">
        <f aca="false">Tabela54[[#This Row],[Kolumna223]]*Tabela54[[#This Row],[Kolumna63]]</f>
        <v>0</v>
      </c>
      <c r="AJ252" s="119"/>
      <c r="AK252" s="122" t="n">
        <f aca="false">Tabela54[[#This Row],[Kolumna34]]*12</f>
        <v>0</v>
      </c>
      <c r="AL252" s="122" t="n">
        <f aca="false">Tabela54[[#This Row],[Kolumna32]]/4.2</f>
        <v>0</v>
      </c>
      <c r="AM252" s="119" t="n">
        <f aca="false">Tabela54[[#This Row],[Kolumna322]]*Tabela54[[#This Row],[Kolumna63]]</f>
        <v>0</v>
      </c>
      <c r="AN252" s="122"/>
      <c r="AO252" s="122" t="n">
        <f aca="false">Tabela54[[#This Row],[Kolumna5]]*Tabela54[[#This Row],[Kolumna63]]</f>
        <v>0</v>
      </c>
      <c r="AP252" s="53" t="n">
        <v>0.4</v>
      </c>
      <c r="AQ252" s="29"/>
      <c r="AR252" s="29"/>
      <c r="AS252" s="29"/>
      <c r="AT252" s="29"/>
    </row>
    <row r="253" customFormat="false" ht="26.25" hidden="false" customHeight="true" outlineLevel="0" collapsed="false">
      <c r="A253" s="25" t="n">
        <v>246</v>
      </c>
      <c r="B253" s="27" t="s">
        <v>241</v>
      </c>
      <c r="C253" s="49" t="s">
        <v>242</v>
      </c>
      <c r="D253" s="134"/>
      <c r="E253" s="135" t="n">
        <v>90</v>
      </c>
      <c r="F25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359.065893333333</v>
      </c>
      <c r="G253" s="135"/>
      <c r="H253" s="130"/>
      <c r="I253" s="26" t="n">
        <f aca="false">Tabela43[[#This Row],[Kolumna5]]*20700*0.27778</f>
        <v>0</v>
      </c>
      <c r="J253" s="130"/>
      <c r="K253" s="130"/>
      <c r="L253" s="28" t="n">
        <f aca="false">Tabela43[[#This Row],[Kolumna8]]*0.000843882*40190*0.27778</f>
        <v>0</v>
      </c>
      <c r="M253" s="130" t="n">
        <f aca="false">50*12</f>
        <v>600</v>
      </c>
      <c r="N253" s="146" t="n">
        <f aca="false">Tabela43[[#This Row],[Kolumna84]]/2.55</f>
        <v>235.294117647059</v>
      </c>
      <c r="O253" s="28" t="n">
        <f aca="false">Tabela43[[#This Row],[Kolumna82]]*35.94*0.27778</f>
        <v>2349.0384</v>
      </c>
      <c r="P253" s="130"/>
      <c r="Q253" s="130"/>
      <c r="R253" s="130" t="n">
        <v>10</v>
      </c>
      <c r="S253" s="116" t="n">
        <f aca="false">Tabela43[[#This Row],[Kolumna92]]*0.65</f>
        <v>6.5</v>
      </c>
      <c r="T253" s="28" t="n">
        <f aca="false">Tabela43[[#This Row],[Kolumna10]]*15600*0.27778</f>
        <v>28166.892</v>
      </c>
      <c r="U253" s="130"/>
      <c r="V253" s="130"/>
      <c r="W253" s="130"/>
      <c r="X253" s="130" t="n">
        <v>150</v>
      </c>
      <c r="Y253" s="130" t="n">
        <f aca="false">Tabela43[[#This Row],[Kolumna1223]]*12</f>
        <v>1800</v>
      </c>
      <c r="Z253" s="28" t="n">
        <f aca="false">Tabela43[[#This Row],[Kolumna123]]/0.55</f>
        <v>3272.72727272727</v>
      </c>
      <c r="AA253" s="125"/>
      <c r="AB253" s="125"/>
      <c r="AC253" s="125" t="n">
        <f aca="false">Tabela54[[#This Row],[Kolumna22]]*12</f>
        <v>0</v>
      </c>
      <c r="AD253" s="122" t="n">
        <f aca="false">Tabela54[[#This Row],[Kolumna3]]/4.44</f>
        <v>0</v>
      </c>
      <c r="AE253" s="120" t="n">
        <f aca="false">Tabela54[[#This Row],[Kolumna23]]*Tabela54[[#This Row],[Kolumna63]]</f>
        <v>0</v>
      </c>
      <c r="AF253" s="120" t="n">
        <v>300</v>
      </c>
      <c r="AG253" s="122" t="n">
        <f aca="false">Tabela54[[#This Row],[Kolumna12]]*12</f>
        <v>3600</v>
      </c>
      <c r="AH253" s="122" t="n">
        <f aca="false">Tabela54[[#This Row],[Kolumna222]]/1.59</f>
        <v>2264.15094339623</v>
      </c>
      <c r="AI253" s="119" t="n">
        <f aca="false">Tabela54[[#This Row],[Kolumna223]]*Tabela54[[#This Row],[Kolumna63]]</f>
        <v>452.830188679245</v>
      </c>
      <c r="AJ253" s="119" t="n">
        <v>250</v>
      </c>
      <c r="AK253" s="122" t="n">
        <f aca="false">Tabela54[[#This Row],[Kolumna34]]*12</f>
        <v>3000</v>
      </c>
      <c r="AL253" s="122" t="n">
        <f aca="false">Tabela54[[#This Row],[Kolumna32]]/4.2</f>
        <v>714.285714285714</v>
      </c>
      <c r="AM253" s="119" t="n">
        <f aca="false">Tabela54[[#This Row],[Kolumna322]]*Tabela54[[#This Row],[Kolumna63]]</f>
        <v>142.857142857143</v>
      </c>
      <c r="AN253" s="122"/>
      <c r="AO253" s="122" t="n">
        <f aca="false">Tabela54[[#This Row],[Kolumna5]]*Tabela54[[#This Row],[Kolumna63]]</f>
        <v>0</v>
      </c>
      <c r="AP253" s="53" t="n">
        <v>0.2</v>
      </c>
      <c r="AQ253" s="29"/>
      <c r="AR253" s="29"/>
      <c r="AS253" s="29"/>
      <c r="AT253" s="29"/>
    </row>
    <row r="254" customFormat="false" ht="29.25" hidden="false" customHeight="true" outlineLevel="0" collapsed="false">
      <c r="A254" s="25" t="n">
        <v>247</v>
      </c>
      <c r="B254" s="27" t="s">
        <v>241</v>
      </c>
      <c r="C254" s="49" t="s">
        <v>256</v>
      </c>
      <c r="D254" s="134"/>
      <c r="E254" s="135" t="n">
        <v>160</v>
      </c>
      <c r="F25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184.79976525</v>
      </c>
      <c r="G254" s="135"/>
      <c r="H254" s="130" t="n">
        <v>3.5</v>
      </c>
      <c r="I254" s="26" t="n">
        <f aca="false">Tabela43[[#This Row],[Kolumna5]]*20700*0.27778</f>
        <v>20125.161</v>
      </c>
      <c r="J254" s="130"/>
      <c r="K254" s="130"/>
      <c r="L254" s="28" t="n">
        <f aca="false">Tabela43[[#This Row],[Kolumna8]]*0.000843882*40190*0.27778</f>
        <v>0</v>
      </c>
      <c r="M254" s="130" t="n">
        <f aca="false">30*12</f>
        <v>360</v>
      </c>
      <c r="N254" s="146" t="n">
        <f aca="false">Tabela43[[#This Row],[Kolumna84]]/2.55</f>
        <v>141.176470588235</v>
      </c>
      <c r="O254" s="28" t="n">
        <f aca="false">Tabela43[[#This Row],[Kolumna82]]*35.94*0.27778</f>
        <v>1409.42304</v>
      </c>
      <c r="P254" s="130"/>
      <c r="Q254" s="130"/>
      <c r="R254" s="130" t="n">
        <v>2</v>
      </c>
      <c r="S254" s="116" t="n">
        <f aca="false">Tabela43[[#This Row],[Kolumna92]]*0.65</f>
        <v>1.3</v>
      </c>
      <c r="T254" s="28" t="n">
        <f aca="false">Tabela43[[#This Row],[Kolumna10]]*15600*0.27778</f>
        <v>5633.3784</v>
      </c>
      <c r="U254" s="130"/>
      <c r="V254" s="130"/>
      <c r="W254" s="130"/>
      <c r="X254" s="130" t="n">
        <v>200</v>
      </c>
      <c r="Y254" s="130" t="n">
        <f aca="false">Tabela43[[#This Row],[Kolumna1223]]*12</f>
        <v>2400</v>
      </c>
      <c r="Z254" s="28" t="n">
        <f aca="false">Tabela43[[#This Row],[Kolumna123]]/0.55</f>
        <v>4363.63636363636</v>
      </c>
      <c r="AA254" s="125"/>
      <c r="AB254" s="125" t="n">
        <v>350</v>
      </c>
      <c r="AC254" s="125" t="n">
        <f aca="false">Tabela54[[#This Row],[Kolumna22]]*12</f>
        <v>4200</v>
      </c>
      <c r="AD254" s="122" t="n">
        <f aca="false">Tabela54[[#This Row],[Kolumna3]]/4.44</f>
        <v>945.945945945946</v>
      </c>
      <c r="AE254" s="120" t="n">
        <f aca="false">Tabela54[[#This Row],[Kolumna23]]*Tabela54[[#This Row],[Kolumna63]]</f>
        <v>283.783783783784</v>
      </c>
      <c r="AF254" s="120"/>
      <c r="AG254" s="122" t="n">
        <f aca="false">Tabela54[[#This Row],[Kolumna12]]*12</f>
        <v>0</v>
      </c>
      <c r="AH254" s="122" t="n">
        <f aca="false">Tabela54[[#This Row],[Kolumna222]]/1.59</f>
        <v>0</v>
      </c>
      <c r="AI254" s="119" t="n">
        <f aca="false">Tabela54[[#This Row],[Kolumna223]]*Tabela54[[#This Row],[Kolumna63]]</f>
        <v>0</v>
      </c>
      <c r="AJ254" s="119" t="n">
        <v>400</v>
      </c>
      <c r="AK254" s="122" t="n">
        <f aca="false">Tabela54[[#This Row],[Kolumna34]]*12</f>
        <v>4800</v>
      </c>
      <c r="AL254" s="122" t="n">
        <f aca="false">Tabela54[[#This Row],[Kolumna32]]/4.2</f>
        <v>1142.85714285714</v>
      </c>
      <c r="AM254" s="119" t="n">
        <f aca="false">Tabela54[[#This Row],[Kolumna322]]*Tabela54[[#This Row],[Kolumna63]]</f>
        <v>342.857142857143</v>
      </c>
      <c r="AN254" s="122"/>
      <c r="AO254" s="122" t="n">
        <f aca="false">Tabela54[[#This Row],[Kolumna5]]*Tabela54[[#This Row],[Kolumna63]]</f>
        <v>0</v>
      </c>
      <c r="AP254" s="53" t="n">
        <v>0.3</v>
      </c>
      <c r="AQ254" s="29"/>
      <c r="AR254" s="29"/>
      <c r="AS254" s="29"/>
      <c r="AT254" s="29"/>
    </row>
    <row r="255" customFormat="false" ht="29.25" hidden="false" customHeight="true" outlineLevel="0" collapsed="false">
      <c r="A255" s="40" t="n">
        <v>248</v>
      </c>
      <c r="B255" s="27" t="s">
        <v>241</v>
      </c>
      <c r="C255" s="49" t="s">
        <v>256</v>
      </c>
      <c r="D255" s="134"/>
      <c r="E255" s="135" t="n">
        <v>125</v>
      </c>
      <c r="F25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193.6547904</v>
      </c>
      <c r="G255" s="135"/>
      <c r="H255" s="130" t="n">
        <v>2</v>
      </c>
      <c r="I255" s="26" t="n">
        <f aca="false">Tabela43[[#This Row],[Kolumna5]]*20700*0.27778</f>
        <v>11500.092</v>
      </c>
      <c r="J255" s="130"/>
      <c r="K255" s="130"/>
      <c r="L255" s="28" t="n">
        <f aca="false">Tabela43[[#This Row],[Kolumna8]]*0.000843882*40190*0.27778</f>
        <v>0</v>
      </c>
      <c r="M255" s="130"/>
      <c r="N255" s="146" t="n">
        <f aca="false">Tabela43[[#This Row],[Kolumna84]]/2.55</f>
        <v>0</v>
      </c>
      <c r="O255" s="28" t="n">
        <f aca="false">Tabela43[[#This Row],[Kolumna82]]*35.94*0.27778</f>
        <v>0</v>
      </c>
      <c r="P255" s="130" t="n">
        <v>6</v>
      </c>
      <c r="Q255" s="130"/>
      <c r="R255" s="130" t="n">
        <v>4</v>
      </c>
      <c r="S255" s="116" t="n">
        <f aca="false">Tabela43[[#This Row],[Kolumna92]]*0.65</f>
        <v>2.6</v>
      </c>
      <c r="T255" s="28" t="n">
        <f aca="false">Tabela43[[#This Row],[Kolumna10]]*15600*0.27778</f>
        <v>11266.7568</v>
      </c>
      <c r="U255" s="130"/>
      <c r="V255" s="130"/>
      <c r="W255" s="130"/>
      <c r="X255" s="130" t="n">
        <v>120</v>
      </c>
      <c r="Y255" s="130" t="n">
        <f aca="false">Tabela43[[#This Row],[Kolumna1223]]*12</f>
        <v>1440</v>
      </c>
      <c r="Z255" s="28" t="n">
        <f aca="false">Tabela43[[#This Row],[Kolumna123]]/0.55</f>
        <v>2618.18181818182</v>
      </c>
      <c r="AA255" s="125"/>
      <c r="AB255" s="125"/>
      <c r="AC255" s="125" t="n">
        <f aca="false">Tabela54[[#This Row],[Kolumna22]]*12</f>
        <v>0</v>
      </c>
      <c r="AD255" s="122" t="n">
        <f aca="false">Tabela54[[#This Row],[Kolumna3]]/4.44</f>
        <v>0</v>
      </c>
      <c r="AE255" s="120" t="n">
        <f aca="false">Tabela54[[#This Row],[Kolumna23]]*Tabela54[[#This Row],[Kolumna63]]</f>
        <v>0</v>
      </c>
      <c r="AF255" s="120"/>
      <c r="AG255" s="122" t="n">
        <f aca="false">Tabela54[[#This Row],[Kolumna12]]*12</f>
        <v>0</v>
      </c>
      <c r="AH255" s="122" t="n">
        <f aca="false">Tabela54[[#This Row],[Kolumna222]]/1.59</f>
        <v>0</v>
      </c>
      <c r="AI255" s="119" t="n">
        <f aca="false">Tabela54[[#This Row],[Kolumna223]]*Tabela54[[#This Row],[Kolumna63]]</f>
        <v>0</v>
      </c>
      <c r="AJ255" s="119" t="n">
        <v>300</v>
      </c>
      <c r="AK255" s="122" t="n">
        <f aca="false">Tabela54[[#This Row],[Kolumna34]]*12</f>
        <v>3600</v>
      </c>
      <c r="AL255" s="122" t="n">
        <f aca="false">Tabela54[[#This Row],[Kolumna32]]/4.2</f>
        <v>857.142857142857</v>
      </c>
      <c r="AM255" s="119" t="n">
        <f aca="false">Tabela54[[#This Row],[Kolumna322]]*Tabela54[[#This Row],[Kolumna63]]</f>
        <v>428.571428571429</v>
      </c>
      <c r="AN255" s="122"/>
      <c r="AO255" s="122" t="n">
        <f aca="false">Tabela54[[#This Row],[Kolumna5]]*Tabela54[[#This Row],[Kolumna63]]</f>
        <v>0</v>
      </c>
      <c r="AP255" s="53" t="n">
        <v>0.5</v>
      </c>
      <c r="AQ255" s="29"/>
      <c r="AR255" s="29"/>
      <c r="AS255" s="29"/>
      <c r="AT255" s="29"/>
    </row>
    <row r="256" customFormat="false" ht="29.25" hidden="false" customHeight="true" outlineLevel="0" collapsed="false">
      <c r="A256" s="25" t="n">
        <v>249</v>
      </c>
      <c r="B256" s="27" t="s">
        <v>241</v>
      </c>
      <c r="C256" s="49" t="s">
        <v>256</v>
      </c>
      <c r="D256" s="134"/>
      <c r="E256" s="135" t="n">
        <v>90</v>
      </c>
      <c r="F25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216.796834666667</v>
      </c>
      <c r="G256" s="135"/>
      <c r="H256" s="130"/>
      <c r="I256" s="26" t="n">
        <f aca="false">Tabela43[[#This Row],[Kolumna5]]*20700*0.27778</f>
        <v>0</v>
      </c>
      <c r="J256" s="130"/>
      <c r="K256" s="130"/>
      <c r="L256" s="28" t="n">
        <f aca="false">Tabela43[[#This Row],[Kolumna8]]*0.000843882*40190*0.27778</f>
        <v>0</v>
      </c>
      <c r="M256" s="130" t="n">
        <f aca="false">90*12</f>
        <v>1080</v>
      </c>
      <c r="N256" s="146" t="n">
        <f aca="false">Tabela43[[#This Row],[Kolumna84]]/2.55</f>
        <v>423.529411764706</v>
      </c>
      <c r="O256" s="28" t="n">
        <f aca="false">Tabela43[[#This Row],[Kolumna82]]*35.94*0.27778</f>
        <v>4228.26912</v>
      </c>
      <c r="P256" s="130"/>
      <c r="Q256" s="130"/>
      <c r="R256" s="130" t="n">
        <v>5</v>
      </c>
      <c r="S256" s="116" t="n">
        <f aca="false">Tabela43[[#This Row],[Kolumna92]]*0.65</f>
        <v>3.25</v>
      </c>
      <c r="T256" s="28" t="n">
        <f aca="false">Tabela43[[#This Row],[Kolumna10]]*15600*0.27778</f>
        <v>14083.446</v>
      </c>
      <c r="U256" s="130"/>
      <c r="V256" s="130"/>
      <c r="W256" s="130"/>
      <c r="X256" s="130" t="n">
        <v>100</v>
      </c>
      <c r="Y256" s="130" t="n">
        <f aca="false">Tabela43[[#This Row],[Kolumna1223]]*12</f>
        <v>1200</v>
      </c>
      <c r="Z256" s="28" t="n">
        <f aca="false">Tabela43[[#This Row],[Kolumna123]]/0.55</f>
        <v>2181.81818181818</v>
      </c>
      <c r="AA256" s="125"/>
      <c r="AB256" s="125"/>
      <c r="AC256" s="125" t="n">
        <f aca="false">Tabela54[[#This Row],[Kolumna22]]*12</f>
        <v>0</v>
      </c>
      <c r="AD256" s="122" t="n">
        <f aca="false">Tabela54[[#This Row],[Kolumna3]]/4.44</f>
        <v>0</v>
      </c>
      <c r="AE256" s="120" t="n">
        <f aca="false">Tabela54[[#This Row],[Kolumna23]]*Tabela54[[#This Row],[Kolumna63]]</f>
        <v>0</v>
      </c>
      <c r="AF256" s="120"/>
      <c r="AG256" s="122" t="n">
        <f aca="false">Tabela54[[#This Row],[Kolumna12]]*12</f>
        <v>0</v>
      </c>
      <c r="AH256" s="122" t="n">
        <f aca="false">Tabela54[[#This Row],[Kolumna222]]/1.59</f>
        <v>0</v>
      </c>
      <c r="AI256" s="119" t="n">
        <f aca="false">Tabela54[[#This Row],[Kolumna223]]*Tabela54[[#This Row],[Kolumna63]]</f>
        <v>0</v>
      </c>
      <c r="AJ256" s="119"/>
      <c r="AK256" s="122" t="n">
        <f aca="false">Tabela54[[#This Row],[Kolumna34]]*12</f>
        <v>0</v>
      </c>
      <c r="AL256" s="122" t="n">
        <f aca="false">Tabela54[[#This Row],[Kolumna32]]/4.2</f>
        <v>0</v>
      </c>
      <c r="AM256" s="119" t="n">
        <f aca="false">Tabela54[[#This Row],[Kolumna322]]*Tabela54[[#This Row],[Kolumna63]]</f>
        <v>0</v>
      </c>
      <c r="AN256" s="122"/>
      <c r="AO256" s="122" t="n">
        <f aca="false">Tabela54[[#This Row],[Kolumna5]]*Tabela54[[#This Row],[Kolumna63]]</f>
        <v>0</v>
      </c>
      <c r="AP256" s="53"/>
      <c r="AQ256" s="29"/>
      <c r="AR256" s="29"/>
      <c r="AS256" s="29"/>
      <c r="AT256" s="29"/>
    </row>
    <row r="257" customFormat="false" ht="33" hidden="false" customHeight="true" outlineLevel="0" collapsed="false">
      <c r="A257" s="25" t="n">
        <v>250</v>
      </c>
      <c r="B257" s="27" t="s">
        <v>241</v>
      </c>
      <c r="C257" s="49" t="s">
        <v>256</v>
      </c>
      <c r="D257" s="134"/>
      <c r="E257" s="135" t="n">
        <v>180</v>
      </c>
      <c r="F25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234.452722666667</v>
      </c>
      <c r="G257" s="135"/>
      <c r="H257" s="130" t="n">
        <v>2</v>
      </c>
      <c r="I257" s="26" t="n">
        <f aca="false">Tabela43[[#This Row],[Kolumna5]]*20700*0.27778</f>
        <v>11500.092</v>
      </c>
      <c r="J257" s="130"/>
      <c r="K257" s="130"/>
      <c r="L257" s="28" t="n">
        <f aca="false">Tabela43[[#This Row],[Kolumna8]]*0.000843882*40190*0.27778</f>
        <v>0</v>
      </c>
      <c r="M257" s="130" t="n">
        <f aca="false">110*12</f>
        <v>1320</v>
      </c>
      <c r="N257" s="146" t="n">
        <f aca="false">Tabela43[[#This Row],[Kolumna84]]/2.55</f>
        <v>517.647058823529</v>
      </c>
      <c r="O257" s="28" t="n">
        <f aca="false">Tabela43[[#This Row],[Kolumna82]]*35.94*0.27778</f>
        <v>5167.88448</v>
      </c>
      <c r="P257" s="130"/>
      <c r="Q257" s="130"/>
      <c r="R257" s="130" t="n">
        <v>8</v>
      </c>
      <c r="S257" s="116" t="n">
        <f aca="false">Tabela43[[#This Row],[Kolumna92]]*0.65</f>
        <v>5.2</v>
      </c>
      <c r="T257" s="28" t="n">
        <f aca="false">Tabela43[[#This Row],[Kolumna10]]*15600*0.27778</f>
        <v>22533.5136</v>
      </c>
      <c r="U257" s="130"/>
      <c r="V257" s="130"/>
      <c r="W257" s="130"/>
      <c r="X257" s="130" t="n">
        <v>250</v>
      </c>
      <c r="Y257" s="130" t="n">
        <f aca="false">Tabela43[[#This Row],[Kolumna1223]]*12</f>
        <v>3000</v>
      </c>
      <c r="Z257" s="28" t="n">
        <f aca="false">Tabela43[[#This Row],[Kolumna123]]/0.55</f>
        <v>5454.54545454545</v>
      </c>
      <c r="AA257" s="125"/>
      <c r="AB257" s="125" t="n">
        <v>350</v>
      </c>
      <c r="AC257" s="125" t="n">
        <f aca="false">Tabela54[[#This Row],[Kolumna22]]*12</f>
        <v>4200</v>
      </c>
      <c r="AD257" s="122" t="n">
        <f aca="false">Tabela54[[#This Row],[Kolumna3]]/4.44</f>
        <v>945.945945945946</v>
      </c>
      <c r="AE257" s="120" t="n">
        <f aca="false">Tabela54[[#This Row],[Kolumna23]]*Tabela54[[#This Row],[Kolumna63]]</f>
        <v>94.5945945945946</v>
      </c>
      <c r="AF257" s="120"/>
      <c r="AG257" s="122" t="n">
        <f aca="false">Tabela54[[#This Row],[Kolumna12]]*12</f>
        <v>0</v>
      </c>
      <c r="AH257" s="122" t="n">
        <f aca="false">Tabela54[[#This Row],[Kolumna222]]/1.59</f>
        <v>0</v>
      </c>
      <c r="AI257" s="119" t="n">
        <f aca="false">Tabela54[[#This Row],[Kolumna223]]*Tabela54[[#This Row],[Kolumna63]]</f>
        <v>0</v>
      </c>
      <c r="AJ257" s="119" t="n">
        <v>500</v>
      </c>
      <c r="AK257" s="122" t="n">
        <f aca="false">Tabela54[[#This Row],[Kolumna34]]*12</f>
        <v>6000</v>
      </c>
      <c r="AL257" s="122" t="n">
        <f aca="false">Tabela54[[#This Row],[Kolumna32]]/4.2</f>
        <v>1428.57142857143</v>
      </c>
      <c r="AM257" s="119" t="n">
        <f aca="false">Tabela54[[#This Row],[Kolumna322]]*Tabela54[[#This Row],[Kolumna63]]</f>
        <v>142.857142857143</v>
      </c>
      <c r="AN257" s="122"/>
      <c r="AO257" s="122" t="n">
        <f aca="false">Tabela54[[#This Row],[Kolumna5]]*Tabela54[[#This Row],[Kolumna63]]</f>
        <v>0</v>
      </c>
      <c r="AP257" s="53" t="n">
        <v>0.1</v>
      </c>
      <c r="AQ257" s="29"/>
      <c r="AR257" s="29"/>
      <c r="AS257" s="29"/>
      <c r="AT257" s="29"/>
    </row>
    <row r="258" customFormat="false" ht="33.75" hidden="false" customHeight="true" outlineLevel="0" collapsed="false">
      <c r="A258" s="40" t="n">
        <v>251</v>
      </c>
      <c r="B258" s="27" t="s">
        <v>241</v>
      </c>
      <c r="C258" s="49" t="s">
        <v>256</v>
      </c>
      <c r="D258" s="134"/>
      <c r="E258" s="135" t="n">
        <v>145</v>
      </c>
      <c r="F25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189.656590344828</v>
      </c>
      <c r="G258" s="135"/>
      <c r="H258" s="130" t="n">
        <v>3</v>
      </c>
      <c r="I258" s="26" t="n">
        <f aca="false">Tabela43[[#This Row],[Kolumna5]]*20700*0.27778</f>
        <v>17250.138</v>
      </c>
      <c r="J258" s="130"/>
      <c r="K258" s="130"/>
      <c r="L258" s="28" t="n">
        <f aca="false">Tabela43[[#This Row],[Kolumna8]]*0.000843882*40190*0.27778</f>
        <v>0</v>
      </c>
      <c r="M258" s="130"/>
      <c r="N258" s="146" t="n">
        <f aca="false">Tabela43[[#This Row],[Kolumna84]]/2.55</f>
        <v>0</v>
      </c>
      <c r="O258" s="28" t="n">
        <f aca="false">Tabela43[[#This Row],[Kolumna82]]*35.94*0.27778</f>
        <v>0</v>
      </c>
      <c r="P258" s="130" t="n">
        <v>6</v>
      </c>
      <c r="Q258" s="130"/>
      <c r="R258" s="130" t="n">
        <v>3</v>
      </c>
      <c r="S258" s="116" t="n">
        <f aca="false">Tabela43[[#This Row],[Kolumna92]]*0.65</f>
        <v>1.95</v>
      </c>
      <c r="T258" s="28" t="n">
        <f aca="false">Tabela43[[#This Row],[Kolumna10]]*15600*0.27778</f>
        <v>8450.0676</v>
      </c>
      <c r="U258" s="130"/>
      <c r="V258" s="130"/>
      <c r="W258" s="130"/>
      <c r="X258" s="130" t="n">
        <v>150</v>
      </c>
      <c r="Y258" s="130" t="n">
        <f aca="false">Tabela43[[#This Row],[Kolumna1223]]*12</f>
        <v>1800</v>
      </c>
      <c r="Z258" s="28" t="n">
        <f aca="false">Tabela43[[#This Row],[Kolumna123]]/0.55</f>
        <v>3272.72727272727</v>
      </c>
      <c r="AA258" s="125"/>
      <c r="AB258" s="125" t="n">
        <v>100</v>
      </c>
      <c r="AC258" s="125" t="n">
        <f aca="false">Tabela54[[#This Row],[Kolumna22]]*12</f>
        <v>1200</v>
      </c>
      <c r="AD258" s="122" t="n">
        <f aca="false">Tabela54[[#This Row],[Kolumna3]]/4.44</f>
        <v>270.27027027027</v>
      </c>
      <c r="AE258" s="120" t="n">
        <f aca="false">Tabela54[[#This Row],[Kolumna23]]*Tabela54[[#This Row],[Kolumna63]]</f>
        <v>40.5405405405405</v>
      </c>
      <c r="AF258" s="120" t="n">
        <v>150</v>
      </c>
      <c r="AG258" s="122" t="n">
        <f aca="false">Tabela54[[#This Row],[Kolumna12]]*12</f>
        <v>1800</v>
      </c>
      <c r="AH258" s="122" t="n">
        <f aca="false">Tabela54[[#This Row],[Kolumna222]]/1.59</f>
        <v>1132.07547169811</v>
      </c>
      <c r="AI258" s="119" t="n">
        <f aca="false">Tabela54[[#This Row],[Kolumna223]]*Tabela54[[#This Row],[Kolumna63]]</f>
        <v>169.811320754717</v>
      </c>
      <c r="AJ258" s="119"/>
      <c r="AK258" s="122" t="n">
        <f aca="false">Tabela54[[#This Row],[Kolumna34]]*12</f>
        <v>0</v>
      </c>
      <c r="AL258" s="122" t="n">
        <f aca="false">Tabela54[[#This Row],[Kolumna32]]/4.2</f>
        <v>0</v>
      </c>
      <c r="AM258" s="119" t="n">
        <f aca="false">Tabela54[[#This Row],[Kolumna322]]*Tabela54[[#This Row],[Kolumna63]]</f>
        <v>0</v>
      </c>
      <c r="AN258" s="122"/>
      <c r="AO258" s="122" t="n">
        <f aca="false">Tabela54[[#This Row],[Kolumna5]]*Tabela54[[#This Row],[Kolumna63]]</f>
        <v>0</v>
      </c>
      <c r="AP258" s="53" t="n">
        <v>0.15</v>
      </c>
      <c r="AQ258" s="29"/>
      <c r="AR258" s="29"/>
      <c r="AS258" s="29"/>
      <c r="AT258" s="29"/>
    </row>
    <row r="259" customFormat="false" ht="28.5" hidden="false" customHeight="true" outlineLevel="0" collapsed="false">
      <c r="A259" s="25" t="n">
        <v>252</v>
      </c>
      <c r="B259" s="27" t="s">
        <v>241</v>
      </c>
      <c r="C259" s="49" t="s">
        <v>256</v>
      </c>
      <c r="D259" s="134"/>
      <c r="E259" s="135" t="n">
        <v>220</v>
      </c>
      <c r="F25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201.136535454545</v>
      </c>
      <c r="G259" s="135"/>
      <c r="H259" s="130" t="n">
        <v>1.5</v>
      </c>
      <c r="I259" s="26" t="n">
        <f aca="false">Tabela43[[#This Row],[Kolumna5]]*20700*0.27778</f>
        <v>8625.069</v>
      </c>
      <c r="J259" s="130"/>
      <c r="K259" s="130"/>
      <c r="L259" s="28" t="n">
        <f aca="false">Tabela43[[#This Row],[Kolumna8]]*0.000843882*40190*0.27778</f>
        <v>0</v>
      </c>
      <c r="M259" s="130" t="n">
        <v>1200</v>
      </c>
      <c r="N259" s="146" t="n">
        <f aca="false">Tabela43[[#This Row],[Kolumna84]]/2.55</f>
        <v>470.588235294118</v>
      </c>
      <c r="O259" s="28" t="n">
        <f aca="false">Tabela43[[#This Row],[Kolumna82]]*35.94*0.27778</f>
        <v>4698.0768</v>
      </c>
      <c r="P259" s="130"/>
      <c r="Q259" s="130"/>
      <c r="R259" s="130" t="n">
        <v>10</v>
      </c>
      <c r="S259" s="116" t="n">
        <f aca="false">Tabela43[[#This Row],[Kolumna92]]*0.65</f>
        <v>6.5</v>
      </c>
      <c r="T259" s="28" t="n">
        <f aca="false">Tabela43[[#This Row],[Kolumna10]]*15600*0.27778</f>
        <v>28166.892</v>
      </c>
      <c r="U259" s="130"/>
      <c r="V259" s="130"/>
      <c r="W259" s="130"/>
      <c r="X259" s="130" t="n">
        <v>230</v>
      </c>
      <c r="Y259" s="130" t="n">
        <f aca="false">Tabela43[[#This Row],[Kolumna1223]]*12</f>
        <v>2760</v>
      </c>
      <c r="Z259" s="28" t="n">
        <f aca="false">Tabela43[[#This Row],[Kolumna123]]/0.55</f>
        <v>5018.18181818182</v>
      </c>
      <c r="AA259" s="125"/>
      <c r="AB259" s="125"/>
      <c r="AC259" s="125" t="n">
        <f aca="false">Tabela54[[#This Row],[Kolumna22]]*12</f>
        <v>0</v>
      </c>
      <c r="AD259" s="122" t="n">
        <f aca="false">Tabela54[[#This Row],[Kolumna3]]/4.44</f>
        <v>0</v>
      </c>
      <c r="AE259" s="120" t="n">
        <f aca="false">Tabela54[[#This Row],[Kolumna23]]*Tabela54[[#This Row],[Kolumna63]]</f>
        <v>0</v>
      </c>
      <c r="AF259" s="120"/>
      <c r="AG259" s="122" t="n">
        <f aca="false">Tabela54[[#This Row],[Kolumna12]]*12</f>
        <v>0</v>
      </c>
      <c r="AH259" s="122" t="n">
        <f aca="false">Tabela54[[#This Row],[Kolumna222]]/1.59</f>
        <v>0</v>
      </c>
      <c r="AI259" s="119" t="n">
        <f aca="false">Tabela54[[#This Row],[Kolumna223]]*Tabela54[[#This Row],[Kolumna63]]</f>
        <v>0</v>
      </c>
      <c r="AJ259" s="119" t="n">
        <v>400</v>
      </c>
      <c r="AK259" s="122" t="n">
        <f aca="false">Tabela54[[#This Row],[Kolumna34]]*12</f>
        <v>4800</v>
      </c>
      <c r="AL259" s="122" t="n">
        <f aca="false">Tabela54[[#This Row],[Kolumna32]]/4.2</f>
        <v>1142.85714285714</v>
      </c>
      <c r="AM259" s="119" t="n">
        <f aca="false">Tabela54[[#This Row],[Kolumna322]]*Tabela54[[#This Row],[Kolumna63]]</f>
        <v>342.857142857143</v>
      </c>
      <c r="AN259" s="122"/>
      <c r="AO259" s="122" t="n">
        <f aca="false">Tabela54[[#This Row],[Kolumna5]]*Tabela54[[#This Row],[Kolumna63]]</f>
        <v>0</v>
      </c>
      <c r="AP259" s="53" t="n">
        <v>0.3</v>
      </c>
      <c r="AQ259" s="29"/>
      <c r="AR259" s="29"/>
      <c r="AS259" s="29"/>
      <c r="AT259" s="29"/>
    </row>
    <row r="260" customFormat="false" ht="29.25" hidden="false" customHeight="true" outlineLevel="0" collapsed="false">
      <c r="A260" s="25" t="n">
        <v>253</v>
      </c>
      <c r="B260" s="27" t="s">
        <v>241</v>
      </c>
      <c r="C260" s="49" t="s">
        <v>256</v>
      </c>
      <c r="D260" s="134"/>
      <c r="E260" s="135" t="n">
        <v>80</v>
      </c>
      <c r="F26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295.127265</v>
      </c>
      <c r="G260" s="135"/>
      <c r="H260" s="130" t="n">
        <v>1</v>
      </c>
      <c r="I260" s="26" t="n">
        <f aca="false">Tabela43[[#This Row],[Kolumna5]]*20700*0.27778</f>
        <v>5750.046</v>
      </c>
      <c r="J260" s="130"/>
      <c r="K260" s="130"/>
      <c r="L260" s="28" t="n">
        <f aca="false">Tabela43[[#This Row],[Kolumna8]]*0.000843882*40190*0.27778</f>
        <v>0</v>
      </c>
      <c r="M260" s="130"/>
      <c r="N260" s="146" t="n">
        <f aca="false">Tabela43[[#This Row],[Kolumna84]]/2.55</f>
        <v>0</v>
      </c>
      <c r="O260" s="28" t="n">
        <f aca="false">Tabela43[[#This Row],[Kolumna82]]*35.94*0.27778</f>
        <v>0</v>
      </c>
      <c r="P260" s="130" t="n">
        <v>3</v>
      </c>
      <c r="Q260" s="130"/>
      <c r="R260" s="130" t="n">
        <v>6</v>
      </c>
      <c r="S260" s="116" t="n">
        <f aca="false">Tabela43[[#This Row],[Kolumna92]]*0.65</f>
        <v>3.9</v>
      </c>
      <c r="T260" s="28" t="n">
        <f aca="false">Tabela43[[#This Row],[Kolumna10]]*15600*0.27778</f>
        <v>16900.1352</v>
      </c>
      <c r="U260" s="130"/>
      <c r="V260" s="130"/>
      <c r="W260" s="130"/>
      <c r="X260" s="130" t="n">
        <v>80</v>
      </c>
      <c r="Y260" s="130" t="n">
        <f aca="false">Tabela43[[#This Row],[Kolumna1223]]*12</f>
        <v>960</v>
      </c>
      <c r="Z260" s="28" t="n">
        <f aca="false">Tabela43[[#This Row],[Kolumna123]]/0.55</f>
        <v>1745.45454545455</v>
      </c>
      <c r="AA260" s="125"/>
      <c r="AB260" s="125"/>
      <c r="AC260" s="125" t="n">
        <f aca="false">Tabela54[[#This Row],[Kolumna22]]*12</f>
        <v>0</v>
      </c>
      <c r="AD260" s="122" t="n">
        <f aca="false">Tabela54[[#This Row],[Kolumna3]]/4.44</f>
        <v>0</v>
      </c>
      <c r="AE260" s="120" t="n">
        <f aca="false">Tabela54[[#This Row],[Kolumna23]]*Tabela54[[#This Row],[Kolumna63]]</f>
        <v>0</v>
      </c>
      <c r="AF260" s="120" t="n">
        <v>80</v>
      </c>
      <c r="AG260" s="122" t="n">
        <f aca="false">Tabela54[[#This Row],[Kolumna12]]*12</f>
        <v>960</v>
      </c>
      <c r="AH260" s="122" t="n">
        <f aca="false">Tabela54[[#This Row],[Kolumna222]]/1.59</f>
        <v>603.77358490566</v>
      </c>
      <c r="AI260" s="119" t="n">
        <f aca="false">Tabela54[[#This Row],[Kolumna223]]*Tabela54[[#This Row],[Kolumna63]]</f>
        <v>513.207547169811</v>
      </c>
      <c r="AJ260" s="119" t="n">
        <v>50</v>
      </c>
      <c r="AK260" s="122" t="n">
        <f aca="false">Tabela54[[#This Row],[Kolumna34]]*12</f>
        <v>600</v>
      </c>
      <c r="AL260" s="122" t="n">
        <f aca="false">Tabela54[[#This Row],[Kolumna32]]/4.2</f>
        <v>142.857142857143</v>
      </c>
      <c r="AM260" s="119" t="n">
        <f aca="false">Tabela54[[#This Row],[Kolumna322]]*Tabela54[[#This Row],[Kolumna63]]</f>
        <v>121.428571428571</v>
      </c>
      <c r="AN260" s="122"/>
      <c r="AO260" s="122" t="n">
        <f aca="false">Tabela54[[#This Row],[Kolumna5]]*Tabela54[[#This Row],[Kolumna63]]</f>
        <v>0</v>
      </c>
      <c r="AP260" s="53" t="n">
        <v>0.85</v>
      </c>
      <c r="AQ260" s="29"/>
      <c r="AR260" s="29"/>
      <c r="AS260" s="29"/>
      <c r="AT260" s="29"/>
    </row>
    <row r="261" s="29" customFormat="true" ht="27" hidden="false" customHeight="true" outlineLevel="0" collapsed="false">
      <c r="A261" s="40" t="n">
        <v>254</v>
      </c>
      <c r="B261" s="27" t="s">
        <v>241</v>
      </c>
      <c r="C261" s="49" t="s">
        <v>248</v>
      </c>
      <c r="D261" s="134"/>
      <c r="E261" s="135" t="n">
        <v>150</v>
      </c>
      <c r="F26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226.3468256</v>
      </c>
      <c r="G261" s="135"/>
      <c r="H261" s="130" t="n">
        <v>4</v>
      </c>
      <c r="I261" s="26" t="n">
        <f aca="false">Tabela43[[#This Row],[Kolumna5]]*20700*0.27778</f>
        <v>23000.184</v>
      </c>
      <c r="J261" s="130"/>
      <c r="K261" s="130"/>
      <c r="L261" s="28" t="n">
        <f aca="false">Tabela43[[#This Row],[Kolumna8]]*0.000843882*40190*0.27778</f>
        <v>0</v>
      </c>
      <c r="M261" s="130" t="n">
        <f aca="false">80*12</f>
        <v>960</v>
      </c>
      <c r="N261" s="146" t="n">
        <f aca="false">Tabela43[[#This Row],[Kolumna84]]/2.55</f>
        <v>376.470588235294</v>
      </c>
      <c r="O261" s="28" t="n">
        <f aca="false">Tabela43[[#This Row],[Kolumna82]]*35.94*0.27778</f>
        <v>3758.46144</v>
      </c>
      <c r="P261" s="130"/>
      <c r="Q261" s="130"/>
      <c r="R261" s="130" t="n">
        <v>2</v>
      </c>
      <c r="S261" s="116" t="n">
        <f aca="false">Tabela43[[#This Row],[Kolumna92]]*0.65</f>
        <v>1.3</v>
      </c>
      <c r="T261" s="28" t="n">
        <f aca="false">Tabela43[[#This Row],[Kolumna10]]*15600*0.27778</f>
        <v>5633.3784</v>
      </c>
      <c r="U261" s="130"/>
      <c r="V261" s="130"/>
      <c r="W261" s="130"/>
      <c r="X261" s="130" t="n">
        <v>130</v>
      </c>
      <c r="Y261" s="130" t="n">
        <f aca="false">Tabela43[[#This Row],[Kolumna1223]]*12</f>
        <v>1560</v>
      </c>
      <c r="Z261" s="28" t="n">
        <f aca="false">Tabela43[[#This Row],[Kolumna123]]/0.55</f>
        <v>2836.36363636364</v>
      </c>
      <c r="AA261" s="125"/>
      <c r="AB261" s="125" t="n">
        <v>250</v>
      </c>
      <c r="AC261" s="125" t="n">
        <f aca="false">Tabela54[[#This Row],[Kolumna22]]*12</f>
        <v>3000</v>
      </c>
      <c r="AD261" s="122" t="n">
        <f aca="false">Tabela54[[#This Row],[Kolumna3]]/4.44</f>
        <v>675.675675675676</v>
      </c>
      <c r="AE261" s="120" t="n">
        <f aca="false">Tabela54[[#This Row],[Kolumna23]]*Tabela54[[#This Row],[Kolumna63]]</f>
        <v>270.27027027027</v>
      </c>
      <c r="AF261" s="120" t="n">
        <v>100</v>
      </c>
      <c r="AG261" s="122" t="n">
        <f aca="false">Tabela54[[#This Row],[Kolumna12]]*12</f>
        <v>1200</v>
      </c>
      <c r="AH261" s="122" t="n">
        <f aca="false">Tabela54[[#This Row],[Kolumna222]]/1.59</f>
        <v>754.716981132076</v>
      </c>
      <c r="AI261" s="119" t="n">
        <f aca="false">Tabela54[[#This Row],[Kolumna223]]*Tabela54[[#This Row],[Kolumna63]]</f>
        <v>301.88679245283</v>
      </c>
      <c r="AJ261" s="119"/>
      <c r="AK261" s="122" t="n">
        <f aca="false">Tabela54[[#This Row],[Kolumna34]]*12</f>
        <v>0</v>
      </c>
      <c r="AL261" s="122" t="n">
        <f aca="false">Tabela54[[#This Row],[Kolumna32]]/4.2</f>
        <v>0</v>
      </c>
      <c r="AM261" s="119" t="n">
        <f aca="false">Tabela54[[#This Row],[Kolumna322]]*Tabela54[[#This Row],[Kolumna63]]</f>
        <v>0</v>
      </c>
      <c r="AN261" s="122"/>
      <c r="AO261" s="122" t="n">
        <f aca="false">Tabela54[[#This Row],[Kolumna5]]*Tabela54[[#This Row],[Kolumna63]]</f>
        <v>0</v>
      </c>
      <c r="AP261" s="53" t="n">
        <v>0.4</v>
      </c>
    </row>
    <row r="262" s="29" customFormat="true" ht="30" hidden="false" customHeight="true" outlineLevel="0" collapsed="false">
      <c r="A262" s="25" t="n">
        <v>255</v>
      </c>
      <c r="B262" s="27" t="s">
        <v>241</v>
      </c>
      <c r="C262" s="49" t="s">
        <v>248</v>
      </c>
      <c r="D262" s="134"/>
      <c r="E262" s="135" t="n">
        <v>110</v>
      </c>
      <c r="F26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195.118177090909</v>
      </c>
      <c r="G262" s="135"/>
      <c r="H262" s="130" t="n">
        <v>2.5</v>
      </c>
      <c r="I262" s="26" t="n">
        <f aca="false">Tabela43[[#This Row],[Kolumna5]]*20700*0.27778</f>
        <v>14375.115</v>
      </c>
      <c r="J262" s="130"/>
      <c r="K262" s="130"/>
      <c r="L262" s="28" t="n">
        <f aca="false">Tabela43[[#This Row],[Kolumna8]]*0.000843882*40190*0.27778</f>
        <v>0</v>
      </c>
      <c r="M262" s="130" t="n">
        <f aca="false">110*12</f>
        <v>1320</v>
      </c>
      <c r="N262" s="146" t="n">
        <f aca="false">Tabela43[[#This Row],[Kolumna84]]/2.55</f>
        <v>517.647058823529</v>
      </c>
      <c r="O262" s="28" t="n">
        <f aca="false">Tabela43[[#This Row],[Kolumna82]]*35.94*0.27778</f>
        <v>5167.88448</v>
      </c>
      <c r="P262" s="130"/>
      <c r="Q262" s="130"/>
      <c r="R262" s="128"/>
      <c r="S262" s="116" t="n">
        <f aca="false">Tabela43[[#This Row],[Kolumna92]]*0.65</f>
        <v>0</v>
      </c>
      <c r="T262" s="28" t="n">
        <f aca="false">Tabela43[[#This Row],[Kolumna10]]*15600*0.27778</f>
        <v>0</v>
      </c>
      <c r="U262" s="130"/>
      <c r="V262" s="130"/>
      <c r="W262" s="130"/>
      <c r="X262" s="130" t="n">
        <v>160</v>
      </c>
      <c r="Y262" s="130" t="n">
        <f aca="false">Tabela43[[#This Row],[Kolumna1223]]*12</f>
        <v>1920</v>
      </c>
      <c r="Z262" s="28" t="n">
        <f aca="false">Tabela43[[#This Row],[Kolumna123]]/0.55</f>
        <v>3490.90909090909</v>
      </c>
      <c r="AA262" s="125"/>
      <c r="AB262" s="125"/>
      <c r="AC262" s="125" t="n">
        <f aca="false">Tabela54[[#This Row],[Kolumna22]]*12</f>
        <v>0</v>
      </c>
      <c r="AD262" s="122" t="n">
        <f aca="false">Tabela54[[#This Row],[Kolumna3]]/4.44</f>
        <v>0</v>
      </c>
      <c r="AE262" s="120" t="n">
        <f aca="false">Tabela54[[#This Row],[Kolumna23]]*Tabela54[[#This Row],[Kolumna63]]</f>
        <v>0</v>
      </c>
      <c r="AF262" s="120"/>
      <c r="AG262" s="122" t="n">
        <f aca="false">Tabela54[[#This Row],[Kolumna12]]*12</f>
        <v>0</v>
      </c>
      <c r="AH262" s="122" t="n">
        <f aca="false">Tabela54[[#This Row],[Kolumna222]]/1.59</f>
        <v>0</v>
      </c>
      <c r="AI262" s="119" t="n">
        <f aca="false">Tabela54[[#This Row],[Kolumna223]]*Tabela54[[#This Row],[Kolumna63]]</f>
        <v>0</v>
      </c>
      <c r="AJ262" s="119" t="n">
        <v>300</v>
      </c>
      <c r="AK262" s="122" t="n">
        <f aca="false">Tabela54[[#This Row],[Kolumna34]]*12</f>
        <v>3600</v>
      </c>
      <c r="AL262" s="122" t="n">
        <f aca="false">Tabela54[[#This Row],[Kolumna32]]/4.2</f>
        <v>857.142857142857</v>
      </c>
      <c r="AM262" s="119" t="n">
        <f aca="false">Tabela54[[#This Row],[Kolumna322]]*Tabela54[[#This Row],[Kolumna63]]</f>
        <v>214.285714285714</v>
      </c>
      <c r="AN262" s="122"/>
      <c r="AO262" s="122" t="n">
        <f aca="false">Tabela54[[#This Row],[Kolumna5]]*Tabela54[[#This Row],[Kolumna63]]</f>
        <v>0</v>
      </c>
      <c r="AP262" s="53" t="n">
        <v>0.25</v>
      </c>
    </row>
    <row r="263" customFormat="false" ht="29.25" hidden="false" customHeight="true" outlineLevel="0" collapsed="false">
      <c r="A263" s="25" t="n">
        <v>256</v>
      </c>
      <c r="B263" s="27" t="s">
        <v>241</v>
      </c>
      <c r="C263" s="49" t="s">
        <v>248</v>
      </c>
      <c r="D263" s="134"/>
      <c r="E263" s="135" t="n">
        <v>100</v>
      </c>
      <c r="F26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212.768244</v>
      </c>
      <c r="G263" s="135"/>
      <c r="H263" s="130"/>
      <c r="I263" s="26" t="n">
        <f aca="false">Tabela43[[#This Row],[Kolumna5]]*20700*0.27778</f>
        <v>0</v>
      </c>
      <c r="J263" s="130"/>
      <c r="K263" s="130"/>
      <c r="L263" s="28" t="n">
        <f aca="false">Tabela43[[#This Row],[Kolumna8]]*0.000843882*40190*0.27778</f>
        <v>0</v>
      </c>
      <c r="M263" s="130"/>
      <c r="N263" s="146" t="n">
        <f aca="false">Tabela43[[#This Row],[Kolumna84]]/2.55</f>
        <v>0</v>
      </c>
      <c r="O263" s="28" t="n">
        <f aca="false">Tabela43[[#This Row],[Kolumna82]]*35.94*0.27778</f>
        <v>0</v>
      </c>
      <c r="P263" s="130" t="n">
        <v>6</v>
      </c>
      <c r="Q263" s="130"/>
      <c r="R263" s="130" t="n">
        <v>7</v>
      </c>
      <c r="S263" s="116" t="n">
        <f aca="false">Tabela43[[#This Row],[Kolumna92]]*0.65</f>
        <v>4.55</v>
      </c>
      <c r="T263" s="28" t="n">
        <f aca="false">Tabela43[[#This Row],[Kolumna10]]*15600*0.27778</f>
        <v>19716.8244</v>
      </c>
      <c r="U263" s="130"/>
      <c r="V263" s="130"/>
      <c r="W263" s="130"/>
      <c r="X263" s="130" t="n">
        <v>130</v>
      </c>
      <c r="Y263" s="130" t="n">
        <f aca="false">Tabela43[[#This Row],[Kolumna1223]]*12</f>
        <v>1560</v>
      </c>
      <c r="Z263" s="28" t="n">
        <f aca="false">Tabela43[[#This Row],[Kolumna123]]/0.55</f>
        <v>2836.36363636364</v>
      </c>
      <c r="AA263" s="125"/>
      <c r="AB263" s="125"/>
      <c r="AC263" s="125" t="n">
        <f aca="false">Tabela54[[#This Row],[Kolumna22]]*12</f>
        <v>0</v>
      </c>
      <c r="AD263" s="122" t="n">
        <f aca="false">Tabela54[[#This Row],[Kolumna3]]/4.44</f>
        <v>0</v>
      </c>
      <c r="AE263" s="120" t="n">
        <f aca="false">Tabela54[[#This Row],[Kolumna23]]*Tabela54[[#This Row],[Kolumna63]]</f>
        <v>0</v>
      </c>
      <c r="AF263" s="120"/>
      <c r="AG263" s="122" t="n">
        <f aca="false">Tabela54[[#This Row],[Kolumna12]]*12</f>
        <v>0</v>
      </c>
      <c r="AH263" s="122" t="n">
        <f aca="false">Tabela54[[#This Row],[Kolumna222]]/1.59</f>
        <v>0</v>
      </c>
      <c r="AI263" s="119" t="n">
        <f aca="false">Tabela54[[#This Row],[Kolumna223]]*Tabela54[[#This Row],[Kolumna63]]</f>
        <v>0</v>
      </c>
      <c r="AJ263" s="119" t="n">
        <v>300</v>
      </c>
      <c r="AK263" s="122" t="n">
        <f aca="false">Tabela54[[#This Row],[Kolumna34]]*12</f>
        <v>3600</v>
      </c>
      <c r="AL263" s="122" t="n">
        <f aca="false">Tabela54[[#This Row],[Kolumna32]]/4.2</f>
        <v>857.142857142857</v>
      </c>
      <c r="AM263" s="119" t="n">
        <f aca="false">Tabela54[[#This Row],[Kolumna322]]*Tabela54[[#This Row],[Kolumna63]]</f>
        <v>428.571428571429</v>
      </c>
      <c r="AN263" s="122"/>
      <c r="AO263" s="122" t="n">
        <f aca="false">Tabela54[[#This Row],[Kolumna5]]*Tabela54[[#This Row],[Kolumna63]]</f>
        <v>0</v>
      </c>
      <c r="AP263" s="53" t="n">
        <v>0.5</v>
      </c>
      <c r="AQ263" s="29"/>
      <c r="AR263" s="29"/>
      <c r="AS263" s="29"/>
      <c r="AT263" s="29"/>
    </row>
    <row r="264" customFormat="false" ht="26.25" hidden="false" customHeight="true" outlineLevel="0" collapsed="false">
      <c r="A264" s="40" t="n">
        <v>257</v>
      </c>
      <c r="B264" s="27" t="s">
        <v>241</v>
      </c>
      <c r="C264" s="49" t="s">
        <v>248</v>
      </c>
      <c r="D264" s="134"/>
      <c r="E264" s="135" t="n">
        <v>130</v>
      </c>
      <c r="F26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259.937829230769</v>
      </c>
      <c r="G264" s="135"/>
      <c r="H264" s="130" t="n">
        <v>3.5</v>
      </c>
      <c r="I264" s="26" t="n">
        <f aca="false">Tabela43[[#This Row],[Kolumna5]]*20700*0.27778</f>
        <v>20125.161</v>
      </c>
      <c r="J264" s="130"/>
      <c r="K264" s="130"/>
      <c r="L264" s="28" t="n">
        <f aca="false">Tabela43[[#This Row],[Kolumna8]]*0.000843882*40190*0.27778</f>
        <v>0</v>
      </c>
      <c r="M264" s="130"/>
      <c r="N264" s="146" t="n">
        <f aca="false">Tabela43[[#This Row],[Kolumna84]]/2.55</f>
        <v>0</v>
      </c>
      <c r="O264" s="28" t="n">
        <f aca="false">Tabela43[[#This Row],[Kolumna82]]*35.94*0.27778</f>
        <v>0</v>
      </c>
      <c r="P264" s="130" t="n">
        <v>6</v>
      </c>
      <c r="Q264" s="130"/>
      <c r="R264" s="130" t="n">
        <v>4</v>
      </c>
      <c r="S264" s="116" t="n">
        <f aca="false">Tabela43[[#This Row],[Kolumna92]]*0.65</f>
        <v>2.6</v>
      </c>
      <c r="T264" s="28" t="n">
        <f aca="false">Tabela43[[#This Row],[Kolumna10]]*15600*0.27778</f>
        <v>11266.7568</v>
      </c>
      <c r="U264" s="130"/>
      <c r="V264" s="130"/>
      <c r="W264" s="130"/>
      <c r="X264" s="130" t="n">
        <v>200</v>
      </c>
      <c r="Y264" s="130" t="n">
        <f aca="false">Tabela43[[#This Row],[Kolumna1223]]*12</f>
        <v>2400</v>
      </c>
      <c r="Z264" s="28" t="n">
        <f aca="false">Tabela43[[#This Row],[Kolumna123]]/0.55</f>
        <v>4363.63636363636</v>
      </c>
      <c r="AA264" s="125"/>
      <c r="AB264" s="125" t="n">
        <v>50</v>
      </c>
      <c r="AC264" s="125" t="n">
        <f aca="false">Tabela54[[#This Row],[Kolumna22]]*12</f>
        <v>600</v>
      </c>
      <c r="AD264" s="122" t="n">
        <f aca="false">Tabela54[[#This Row],[Kolumna3]]/4.44</f>
        <v>135.135135135135</v>
      </c>
      <c r="AE264" s="120" t="n">
        <f aca="false">Tabela54[[#This Row],[Kolumna23]]*Tabela54[[#This Row],[Kolumna63]]</f>
        <v>108.108108108108</v>
      </c>
      <c r="AF264" s="120" t="n">
        <v>160</v>
      </c>
      <c r="AG264" s="122" t="n">
        <f aca="false">Tabela54[[#This Row],[Kolumna12]]*12</f>
        <v>1920</v>
      </c>
      <c r="AH264" s="122" t="n">
        <f aca="false">Tabela54[[#This Row],[Kolumna222]]/1.59</f>
        <v>1207.54716981132</v>
      </c>
      <c r="AI264" s="119" t="n">
        <f aca="false">Tabela54[[#This Row],[Kolumna223]]*Tabela54[[#This Row],[Kolumna63]]</f>
        <v>966.037735849057</v>
      </c>
      <c r="AJ264" s="119"/>
      <c r="AK264" s="122" t="n">
        <f aca="false">Tabela54[[#This Row],[Kolumna34]]*12</f>
        <v>0</v>
      </c>
      <c r="AL264" s="122" t="n">
        <f aca="false">Tabela54[[#This Row],[Kolumna32]]/4.2</f>
        <v>0</v>
      </c>
      <c r="AM264" s="119" t="n">
        <f aca="false">Tabela54[[#This Row],[Kolumna322]]*Tabela54[[#This Row],[Kolumna63]]</f>
        <v>0</v>
      </c>
      <c r="AN264" s="122"/>
      <c r="AO264" s="122" t="n">
        <f aca="false">Tabela54[[#This Row],[Kolumna5]]*Tabela54[[#This Row],[Kolumna63]]</f>
        <v>0</v>
      </c>
      <c r="AP264" s="53" t="n">
        <v>0.8</v>
      </c>
      <c r="AQ264" s="29"/>
      <c r="AR264" s="29"/>
      <c r="AS264" s="29"/>
      <c r="AT264" s="29"/>
    </row>
    <row r="265" customFormat="false" ht="26.25" hidden="false" customHeight="true" outlineLevel="0" collapsed="false">
      <c r="A265" s="25" t="n">
        <v>258</v>
      </c>
      <c r="B265" s="27" t="s">
        <v>241</v>
      </c>
      <c r="C265" s="49" t="s">
        <v>248</v>
      </c>
      <c r="D265" s="134"/>
      <c r="E265" s="135" t="n">
        <v>65</v>
      </c>
      <c r="F26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318.053723076923</v>
      </c>
      <c r="G265" s="135"/>
      <c r="H265" s="130" t="n">
        <v>1</v>
      </c>
      <c r="I265" s="26" t="n">
        <f aca="false">Tabela43[[#This Row],[Kolumna5]]*20700*0.27778</f>
        <v>5750.046</v>
      </c>
      <c r="J265" s="130"/>
      <c r="K265" s="130"/>
      <c r="L265" s="28" t="n">
        <f aca="false">Tabela43[[#This Row],[Kolumna8]]*0.000843882*40190*0.27778</f>
        <v>0</v>
      </c>
      <c r="M265" s="130"/>
      <c r="N265" s="146" t="n">
        <f aca="false">Tabela43[[#This Row],[Kolumna84]]/2.55</f>
        <v>0</v>
      </c>
      <c r="O265" s="28" t="n">
        <f aca="false">Tabela43[[#This Row],[Kolumna82]]*35.94*0.27778</f>
        <v>0</v>
      </c>
      <c r="P265" s="130" t="n">
        <v>6</v>
      </c>
      <c r="Q265" s="130"/>
      <c r="R265" s="130" t="n">
        <v>5</v>
      </c>
      <c r="S265" s="116" t="n">
        <f aca="false">Tabela43[[#This Row],[Kolumna92]]*0.65</f>
        <v>3.25</v>
      </c>
      <c r="T265" s="28" t="n">
        <f aca="false">Tabela43[[#This Row],[Kolumna10]]*15600*0.27778</f>
        <v>14083.446</v>
      </c>
      <c r="U265" s="130"/>
      <c r="V265" s="130"/>
      <c r="W265" s="130"/>
      <c r="X265" s="130" t="n">
        <v>70</v>
      </c>
      <c r="Y265" s="130" t="n">
        <f aca="false">Tabela43[[#This Row],[Kolumna1223]]*12</f>
        <v>840</v>
      </c>
      <c r="Z265" s="28" t="n">
        <f aca="false">Tabela43[[#This Row],[Kolumna123]]/0.55</f>
        <v>1527.27272727273</v>
      </c>
      <c r="AA265" s="125"/>
      <c r="AB265" s="125" t="n">
        <v>60</v>
      </c>
      <c r="AC265" s="125" t="n">
        <f aca="false">Tabela54[[#This Row],[Kolumna22]]*12</f>
        <v>720</v>
      </c>
      <c r="AD265" s="122" t="n">
        <f aca="false">Tabela54[[#This Row],[Kolumna3]]/4.44</f>
        <v>162.162162162162</v>
      </c>
      <c r="AE265" s="120" t="n">
        <f aca="false">Tabela54[[#This Row],[Kolumna23]]*Tabela54[[#This Row],[Kolumna63]]</f>
        <v>145.945945945946</v>
      </c>
      <c r="AF265" s="120" t="n">
        <v>100</v>
      </c>
      <c r="AG265" s="122" t="n">
        <f aca="false">Tabela54[[#This Row],[Kolumna12]]*12</f>
        <v>1200</v>
      </c>
      <c r="AH265" s="122" t="n">
        <f aca="false">Tabela54[[#This Row],[Kolumna222]]/1.59</f>
        <v>754.716981132076</v>
      </c>
      <c r="AI265" s="119" t="n">
        <f aca="false">Tabela54[[#This Row],[Kolumna223]]*Tabela54[[#This Row],[Kolumna63]]</f>
        <v>679.245283018868</v>
      </c>
      <c r="AJ265" s="119"/>
      <c r="AK265" s="122" t="n">
        <f aca="false">Tabela54[[#This Row],[Kolumna34]]*12</f>
        <v>0</v>
      </c>
      <c r="AL265" s="122" t="n">
        <f aca="false">Tabela54[[#This Row],[Kolumna32]]/4.2</f>
        <v>0</v>
      </c>
      <c r="AM265" s="119" t="n">
        <f aca="false">Tabela54[[#This Row],[Kolumna322]]*Tabela54[[#This Row],[Kolumna63]]</f>
        <v>0</v>
      </c>
      <c r="AN265" s="122"/>
      <c r="AO265" s="122" t="n">
        <f aca="false">Tabela54[[#This Row],[Kolumna5]]*Tabela54[[#This Row],[Kolumna63]]</f>
        <v>0</v>
      </c>
      <c r="AP265" s="53" t="n">
        <v>0.9</v>
      </c>
      <c r="AQ265" s="29"/>
      <c r="AR265" s="29"/>
      <c r="AS265" s="29"/>
      <c r="AT265" s="29"/>
    </row>
    <row r="266" customFormat="false" ht="32.25" hidden="false" customHeight="true" outlineLevel="0" collapsed="false">
      <c r="A266" s="25" t="n">
        <v>259</v>
      </c>
      <c r="B266" s="27" t="s">
        <v>241</v>
      </c>
      <c r="C266" s="49" t="s">
        <v>248</v>
      </c>
      <c r="D266" s="134"/>
      <c r="E266" s="135" t="n">
        <v>200</v>
      </c>
      <c r="F26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266.7079104</v>
      </c>
      <c r="G266" s="135"/>
      <c r="H266" s="130" t="n">
        <v>4</v>
      </c>
      <c r="I266" s="26" t="n">
        <f aca="false">Tabela43[[#This Row],[Kolumna5]]*20700*0.27778</f>
        <v>23000.184</v>
      </c>
      <c r="J266" s="130"/>
      <c r="K266" s="130"/>
      <c r="L266" s="28" t="n">
        <f aca="false">Tabela43[[#This Row],[Kolumna8]]*0.000843882*40190*0.27778</f>
        <v>0</v>
      </c>
      <c r="M266" s="130" t="n">
        <f aca="false">110*12</f>
        <v>1320</v>
      </c>
      <c r="N266" s="146" t="n">
        <f aca="false">Tabela43[[#This Row],[Kolumna84]]/2.55</f>
        <v>517.647058823529</v>
      </c>
      <c r="O266" s="28" t="n">
        <f aca="false">Tabela43[[#This Row],[Kolumna82]]*35.94*0.27778</f>
        <v>5167.88448</v>
      </c>
      <c r="P266" s="130"/>
      <c r="Q266" s="130"/>
      <c r="R266" s="130" t="n">
        <v>8</v>
      </c>
      <c r="S266" s="116" t="n">
        <f aca="false">Tabela43[[#This Row],[Kolumna92]]*0.65</f>
        <v>5.2</v>
      </c>
      <c r="T266" s="28" t="n">
        <f aca="false">Tabela43[[#This Row],[Kolumna10]]*15600*0.27778</f>
        <v>22533.5136</v>
      </c>
      <c r="U266" s="130"/>
      <c r="V266" s="130"/>
      <c r="W266" s="130"/>
      <c r="X266" s="130" t="n">
        <v>220</v>
      </c>
      <c r="Y266" s="130" t="n">
        <f aca="false">Tabela43[[#This Row],[Kolumna1223]]*12</f>
        <v>2640</v>
      </c>
      <c r="Z266" s="28" t="n">
        <f aca="false">Tabela43[[#This Row],[Kolumna123]]/0.55</f>
        <v>4800</v>
      </c>
      <c r="AA266" s="125"/>
      <c r="AB266" s="125" t="n">
        <v>500</v>
      </c>
      <c r="AC266" s="125" t="n">
        <f aca="false">Tabela54[[#This Row],[Kolumna22]]*12</f>
        <v>6000</v>
      </c>
      <c r="AD266" s="122" t="n">
        <f aca="false">Tabela54[[#This Row],[Kolumna3]]/4.44</f>
        <v>1351.35135135135</v>
      </c>
      <c r="AE266" s="120" t="n">
        <f aca="false">Tabela54[[#This Row],[Kolumna23]]*Tabela54[[#This Row],[Kolumna63]]</f>
        <v>810.810810810811</v>
      </c>
      <c r="AF266" s="120"/>
      <c r="AG266" s="122" t="n">
        <f aca="false">Tabela54[[#This Row],[Kolumna12]]*12</f>
        <v>0</v>
      </c>
      <c r="AH266" s="122" t="n">
        <f aca="false">Tabela54[[#This Row],[Kolumna222]]/1.59</f>
        <v>0</v>
      </c>
      <c r="AI266" s="119" t="n">
        <f aca="false">Tabela54[[#This Row],[Kolumna223]]*Tabela54[[#This Row],[Kolumna63]]</f>
        <v>0</v>
      </c>
      <c r="AJ266" s="119" t="n">
        <v>200</v>
      </c>
      <c r="AK266" s="122" t="n">
        <f aca="false">Tabela54[[#This Row],[Kolumna34]]*12</f>
        <v>2400</v>
      </c>
      <c r="AL266" s="122" t="n">
        <f aca="false">Tabela54[[#This Row],[Kolumna32]]/4.2</f>
        <v>571.428571428571</v>
      </c>
      <c r="AM266" s="119" t="n">
        <f aca="false">Tabela54[[#This Row],[Kolumna322]]*Tabela54[[#This Row],[Kolumna63]]</f>
        <v>342.857142857143</v>
      </c>
      <c r="AN266" s="122"/>
      <c r="AO266" s="122" t="n">
        <f aca="false">Tabela54[[#This Row],[Kolumna5]]*Tabela54[[#This Row],[Kolumna63]]</f>
        <v>0</v>
      </c>
      <c r="AP266" s="53" t="n">
        <v>0.6</v>
      </c>
      <c r="AQ266" s="29"/>
      <c r="AR266" s="29"/>
      <c r="AS266" s="29"/>
      <c r="AT266" s="29"/>
    </row>
    <row r="267" customFormat="false" ht="30.75" hidden="false" customHeight="true" outlineLevel="0" collapsed="false">
      <c r="A267" s="40" t="n">
        <v>260</v>
      </c>
      <c r="B267" s="27" t="s">
        <v>241</v>
      </c>
      <c r="C267" s="49" t="s">
        <v>248</v>
      </c>
      <c r="D267" s="134"/>
      <c r="E267" s="135" t="n">
        <v>110</v>
      </c>
      <c r="F26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259.672178181818</v>
      </c>
      <c r="G267" s="135"/>
      <c r="H267" s="130"/>
      <c r="I267" s="26" t="n">
        <f aca="false">Tabela43[[#This Row],[Kolumna5]]*20700*0.27778</f>
        <v>0</v>
      </c>
      <c r="J267" s="130"/>
      <c r="K267" s="130"/>
      <c r="L267" s="28" t="n">
        <f aca="false">Tabela43[[#This Row],[Kolumna8]]*0.000843882*40190*0.27778</f>
        <v>0</v>
      </c>
      <c r="M267" s="130" t="n">
        <f aca="false">150*12</f>
        <v>1800</v>
      </c>
      <c r="N267" s="146" t="n">
        <f aca="false">Tabela43[[#This Row],[Kolumna84]]/2.55</f>
        <v>705.882352941176</v>
      </c>
      <c r="O267" s="28" t="n">
        <f aca="false">Tabela43[[#This Row],[Kolumna82]]*35.94*0.27778</f>
        <v>7047.1152</v>
      </c>
      <c r="P267" s="130"/>
      <c r="Q267" s="130"/>
      <c r="R267" s="130" t="n">
        <v>7</v>
      </c>
      <c r="S267" s="116" t="n">
        <f aca="false">Tabela43[[#This Row],[Kolumna92]]*0.65</f>
        <v>4.55</v>
      </c>
      <c r="T267" s="28" t="n">
        <f aca="false">Tabela43[[#This Row],[Kolumna10]]*15600*0.27778</f>
        <v>19716.8244</v>
      </c>
      <c r="U267" s="130"/>
      <c r="V267" s="130"/>
      <c r="W267" s="130"/>
      <c r="X267" s="130" t="n">
        <v>150</v>
      </c>
      <c r="Y267" s="130" t="n">
        <f aca="false">Tabela43[[#This Row],[Kolumna1223]]*12</f>
        <v>1800</v>
      </c>
      <c r="Z267" s="28" t="n">
        <f aca="false">Tabela43[[#This Row],[Kolumna123]]/0.55</f>
        <v>3272.72727272727</v>
      </c>
      <c r="AA267" s="125"/>
      <c r="AB267" s="125" t="n">
        <v>400</v>
      </c>
      <c r="AC267" s="125" t="n">
        <f aca="false">Tabela54[[#This Row],[Kolumna22]]*12</f>
        <v>4800</v>
      </c>
      <c r="AD267" s="122" t="n">
        <f aca="false">Tabela54[[#This Row],[Kolumna3]]/4.44</f>
        <v>1081.08108108108</v>
      </c>
      <c r="AE267" s="120" t="n">
        <f aca="false">Tabela54[[#This Row],[Kolumna23]]*Tabela54[[#This Row],[Kolumna63]]</f>
        <v>540.540540540541</v>
      </c>
      <c r="AF267" s="120"/>
      <c r="AG267" s="122" t="n">
        <f aca="false">Tabela54[[#This Row],[Kolumna12]]*12</f>
        <v>0</v>
      </c>
      <c r="AH267" s="122" t="n">
        <f aca="false">Tabela54[[#This Row],[Kolumna222]]/1.59</f>
        <v>0</v>
      </c>
      <c r="AI267" s="119" t="n">
        <f aca="false">Tabela54[[#This Row],[Kolumna223]]*Tabela54[[#This Row],[Kolumna63]]</f>
        <v>0</v>
      </c>
      <c r="AJ267" s="119" t="n">
        <v>250</v>
      </c>
      <c r="AK267" s="122" t="n">
        <f aca="false">Tabela54[[#This Row],[Kolumna34]]*12</f>
        <v>3000</v>
      </c>
      <c r="AL267" s="122" t="n">
        <f aca="false">Tabela54[[#This Row],[Kolumna32]]/4.2</f>
        <v>714.285714285714</v>
      </c>
      <c r="AM267" s="119" t="n">
        <f aca="false">Tabela54[[#This Row],[Kolumna322]]*Tabela54[[#This Row],[Kolumna63]]</f>
        <v>357.142857142857</v>
      </c>
      <c r="AN267" s="122"/>
      <c r="AO267" s="122" t="n">
        <f aca="false">Tabela54[[#This Row],[Kolumna5]]*Tabela54[[#This Row],[Kolumna63]]</f>
        <v>0</v>
      </c>
      <c r="AP267" s="53" t="n">
        <v>0.5</v>
      </c>
      <c r="AQ267" s="29"/>
      <c r="AR267" s="29"/>
      <c r="AS267" s="29"/>
      <c r="AT267" s="29"/>
    </row>
    <row r="268" customFormat="false" ht="32.25" hidden="false" customHeight="true" outlineLevel="0" collapsed="false">
      <c r="A268" s="25" t="n">
        <v>261</v>
      </c>
      <c r="B268" s="27" t="s">
        <v>241</v>
      </c>
      <c r="C268" s="49" t="s">
        <v>248</v>
      </c>
      <c r="D268" s="134"/>
      <c r="E268" s="135" t="n">
        <v>140</v>
      </c>
      <c r="F26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223.443513428571</v>
      </c>
      <c r="G268" s="135"/>
      <c r="H268" s="130"/>
      <c r="I268" s="26" t="n">
        <f aca="false">Tabela43[[#This Row],[Kolumna5]]*20700*0.27778</f>
        <v>0</v>
      </c>
      <c r="J268" s="130"/>
      <c r="K268" s="130"/>
      <c r="L268" s="28" t="n">
        <f aca="false">Tabela43[[#This Row],[Kolumna8]]*0.000843882*40190*0.27778</f>
        <v>0</v>
      </c>
      <c r="M268" s="130" t="n">
        <f aca="false">160*12</f>
        <v>1920</v>
      </c>
      <c r="N268" s="146" t="n">
        <f aca="false">Tabela43[[#This Row],[Kolumna84]]/2.55</f>
        <v>752.941176470588</v>
      </c>
      <c r="O268" s="28" t="n">
        <f aca="false">Tabela43[[#This Row],[Kolumna82]]*35.94*0.27778</f>
        <v>7516.92288</v>
      </c>
      <c r="P268" s="130"/>
      <c r="Q268" s="130"/>
      <c r="R268" s="130" t="n">
        <v>7.5</v>
      </c>
      <c r="S268" s="116" t="n">
        <f aca="false">Tabela43[[#This Row],[Kolumna92]]*0.65</f>
        <v>4.875</v>
      </c>
      <c r="T268" s="28" t="n">
        <f aca="false">Tabela43[[#This Row],[Kolumna10]]*15600*0.27778</f>
        <v>21125.169</v>
      </c>
      <c r="U268" s="130"/>
      <c r="V268" s="130"/>
      <c r="W268" s="130"/>
      <c r="X268" s="130" t="n">
        <v>220</v>
      </c>
      <c r="Y268" s="130" t="n">
        <f aca="false">Tabela43[[#This Row],[Kolumna1223]]*12</f>
        <v>2640</v>
      </c>
      <c r="Z268" s="28" t="n">
        <f aca="false">Tabela43[[#This Row],[Kolumna123]]/0.55</f>
        <v>4800</v>
      </c>
      <c r="AA268" s="125"/>
      <c r="AB268" s="125"/>
      <c r="AC268" s="125" t="n">
        <f aca="false">Tabela54[[#This Row],[Kolumna22]]*12</f>
        <v>0</v>
      </c>
      <c r="AD268" s="122" t="n">
        <f aca="false">Tabela54[[#This Row],[Kolumna3]]/4.44</f>
        <v>0</v>
      </c>
      <c r="AE268" s="120" t="n">
        <f aca="false">Tabela54[[#This Row],[Kolumna23]]*Tabela54[[#This Row],[Kolumna63]]</f>
        <v>0</v>
      </c>
      <c r="AF268" s="120" t="n">
        <v>150</v>
      </c>
      <c r="AG268" s="122" t="n">
        <f aca="false">Tabela54[[#This Row],[Kolumna12]]*12</f>
        <v>1800</v>
      </c>
      <c r="AH268" s="122" t="n">
        <f aca="false">Tabela54[[#This Row],[Kolumna222]]/1.59</f>
        <v>1132.07547169811</v>
      </c>
      <c r="AI268" s="119" t="n">
        <f aca="false">Tabela54[[#This Row],[Kolumna223]]*Tabela54[[#This Row],[Kolumna63]]</f>
        <v>509.433962264151</v>
      </c>
      <c r="AJ268" s="119"/>
      <c r="AK268" s="122" t="n">
        <f aca="false">Tabela54[[#This Row],[Kolumna34]]*12</f>
        <v>0</v>
      </c>
      <c r="AL268" s="122" t="n">
        <f aca="false">Tabela54[[#This Row],[Kolumna32]]/4.2</f>
        <v>0</v>
      </c>
      <c r="AM268" s="119" t="n">
        <f aca="false">Tabela54[[#This Row],[Kolumna322]]*Tabela54[[#This Row],[Kolumna63]]</f>
        <v>0</v>
      </c>
      <c r="AN268" s="122"/>
      <c r="AO268" s="122" t="n">
        <f aca="false">Tabela54[[#This Row],[Kolumna5]]*Tabela54[[#This Row],[Kolumna63]]</f>
        <v>0</v>
      </c>
      <c r="AP268" s="53" t="n">
        <v>0.45</v>
      </c>
      <c r="AQ268" s="29"/>
      <c r="AR268" s="29"/>
      <c r="AS268" s="29"/>
      <c r="AT268" s="29"/>
    </row>
    <row r="269" customFormat="false" ht="30" hidden="false" customHeight="true" outlineLevel="0" collapsed="false">
      <c r="A269" s="25" t="n">
        <v>262</v>
      </c>
      <c r="B269" s="27" t="s">
        <v>241</v>
      </c>
      <c r="C269" s="49" t="s">
        <v>248</v>
      </c>
      <c r="D269" s="134"/>
      <c r="E269" s="135" t="n">
        <v>115</v>
      </c>
      <c r="F26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263.11792173913</v>
      </c>
      <c r="G269" s="135"/>
      <c r="H269" s="130" t="n">
        <v>2.5</v>
      </c>
      <c r="I269" s="26" t="n">
        <f aca="false">Tabela43[[#This Row],[Kolumna5]]*20700*0.27778</f>
        <v>14375.115</v>
      </c>
      <c r="J269" s="130"/>
      <c r="K269" s="130"/>
      <c r="L269" s="28" t="n">
        <f aca="false">Tabela43[[#This Row],[Kolumna8]]*0.000843882*40190*0.27778</f>
        <v>0</v>
      </c>
      <c r="M269" s="130"/>
      <c r="N269" s="146" t="n">
        <f aca="false">Tabela43[[#This Row],[Kolumna84]]/2.55</f>
        <v>0</v>
      </c>
      <c r="O269" s="28" t="n">
        <f aca="false">Tabela43[[#This Row],[Kolumna82]]*35.94*0.27778</f>
        <v>0</v>
      </c>
      <c r="P269" s="130" t="n">
        <v>6</v>
      </c>
      <c r="Q269" s="130"/>
      <c r="R269" s="130" t="n">
        <v>5</v>
      </c>
      <c r="S269" s="116" t="n">
        <f aca="false">Tabela43[[#This Row],[Kolumna92]]*0.65</f>
        <v>3.25</v>
      </c>
      <c r="T269" s="28" t="n">
        <f aca="false">Tabela43[[#This Row],[Kolumna10]]*15600*0.27778</f>
        <v>14083.446</v>
      </c>
      <c r="U269" s="130"/>
      <c r="V269" s="130"/>
      <c r="W269" s="130"/>
      <c r="X269" s="130" t="n">
        <v>150</v>
      </c>
      <c r="Y269" s="130" t="n">
        <f aca="false">Tabela43[[#This Row],[Kolumna1223]]*12</f>
        <v>1800</v>
      </c>
      <c r="Z269" s="28" t="n">
        <f aca="false">Tabela43[[#This Row],[Kolumna123]]/0.55</f>
        <v>3272.72727272727</v>
      </c>
      <c r="AA269" s="125"/>
      <c r="AB269" s="125"/>
      <c r="AC269" s="125" t="n">
        <f aca="false">Tabela54[[#This Row],[Kolumna22]]*12</f>
        <v>0</v>
      </c>
      <c r="AD269" s="122" t="n">
        <f aca="false">Tabela54[[#This Row],[Kolumna3]]/4.44</f>
        <v>0</v>
      </c>
      <c r="AE269" s="120" t="n">
        <f aca="false">Tabela54[[#This Row],[Kolumna23]]*Tabela54[[#This Row],[Kolumna63]]</f>
        <v>0</v>
      </c>
      <c r="AF269" s="120"/>
      <c r="AG269" s="122" t="n">
        <f aca="false">Tabela54[[#This Row],[Kolumna12]]*12</f>
        <v>0</v>
      </c>
      <c r="AH269" s="122" t="n">
        <f aca="false">Tabela54[[#This Row],[Kolumna222]]/1.59</f>
        <v>0</v>
      </c>
      <c r="AI269" s="119" t="n">
        <f aca="false">Tabela54[[#This Row],[Kolumna223]]*Tabela54[[#This Row],[Kolumna63]]</f>
        <v>0</v>
      </c>
      <c r="AJ269" s="119" t="n">
        <v>270</v>
      </c>
      <c r="AK269" s="122" t="n">
        <f aca="false">Tabela54[[#This Row],[Kolumna34]]*12</f>
        <v>3240</v>
      </c>
      <c r="AL269" s="122" t="n">
        <f aca="false">Tabela54[[#This Row],[Kolumna32]]/4.2</f>
        <v>771.428571428571</v>
      </c>
      <c r="AM269" s="119" t="n">
        <f aca="false">Tabela54[[#This Row],[Kolumna322]]*Tabela54[[#This Row],[Kolumna63]]</f>
        <v>462.857142857143</v>
      </c>
      <c r="AN269" s="122"/>
      <c r="AO269" s="122" t="n">
        <f aca="false">Tabela54[[#This Row],[Kolumna5]]*Tabela54[[#This Row],[Kolumna63]]</f>
        <v>0</v>
      </c>
      <c r="AP269" s="53" t="n">
        <v>0.6</v>
      </c>
      <c r="AQ269" s="29"/>
      <c r="AR269" s="29"/>
      <c r="AS269" s="29"/>
      <c r="AT269" s="29"/>
    </row>
    <row r="270" customFormat="false" ht="29.25" hidden="false" customHeight="true" outlineLevel="0" collapsed="false">
      <c r="A270" s="40" t="n">
        <v>263</v>
      </c>
      <c r="B270" s="27" t="s">
        <v>241</v>
      </c>
      <c r="C270" s="49" t="s">
        <v>242</v>
      </c>
      <c r="D270" s="134"/>
      <c r="E270" s="135" t="n">
        <v>166</v>
      </c>
      <c r="F27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163.856530120482</v>
      </c>
      <c r="G270" s="135"/>
      <c r="H270" s="130" t="n">
        <v>4</v>
      </c>
      <c r="I270" s="26" t="n">
        <f aca="false">Tabela43[[#This Row],[Kolumna5]]*20700*0.27778</f>
        <v>23000.184</v>
      </c>
      <c r="J270" s="130"/>
      <c r="K270" s="130"/>
      <c r="L270" s="28" t="n">
        <f aca="false">Tabela43[[#This Row],[Kolumna8]]*0.000843882*40190*0.27778</f>
        <v>0</v>
      </c>
      <c r="M270" s="130"/>
      <c r="N270" s="146" t="n">
        <f aca="false">Tabela43[[#This Row],[Kolumna84]]/2.55</f>
        <v>0</v>
      </c>
      <c r="O270" s="28" t="n">
        <f aca="false">Tabela43[[#This Row],[Kolumna82]]*35.94*0.27778</f>
        <v>0</v>
      </c>
      <c r="P270" s="130"/>
      <c r="Q270" s="130"/>
      <c r="R270" s="130"/>
      <c r="S270" s="116" t="n">
        <f aca="false">Tabela43[[#This Row],[Kolumna92]]*0.65</f>
        <v>0</v>
      </c>
      <c r="T270" s="28" t="n">
        <f aca="false">Tabela43[[#This Row],[Kolumna10]]*15600*0.27778</f>
        <v>0</v>
      </c>
      <c r="U270" s="130"/>
      <c r="V270" s="130"/>
      <c r="W270" s="130"/>
      <c r="X270" s="130" t="n">
        <v>350</v>
      </c>
      <c r="Y270" s="130" t="n">
        <f aca="false">Tabela43[[#This Row],[Kolumna1223]]*12</f>
        <v>4200</v>
      </c>
      <c r="Z270" s="28" t="n">
        <f aca="false">Tabela43[[#This Row],[Kolumna123]]/0.55</f>
        <v>7636.36363636364</v>
      </c>
      <c r="AA270" s="125"/>
      <c r="AB270" s="125"/>
      <c r="AC270" s="125" t="n">
        <f aca="false">Tabela54[[#This Row],[Kolumna22]]*12</f>
        <v>0</v>
      </c>
      <c r="AD270" s="122" t="n">
        <f aca="false">Tabela54[[#This Row],[Kolumna3]]/4.44</f>
        <v>0</v>
      </c>
      <c r="AE270" s="120" t="n">
        <f aca="false">Tabela54[[#This Row],[Kolumna23]]*Tabela54[[#This Row],[Kolumna63]]</f>
        <v>0</v>
      </c>
      <c r="AF270" s="120"/>
      <c r="AG270" s="122" t="n">
        <f aca="false">Tabela54[[#This Row],[Kolumna12]]*12</f>
        <v>0</v>
      </c>
      <c r="AH270" s="122" t="n">
        <f aca="false">Tabela54[[#This Row],[Kolumna222]]/1.59</f>
        <v>0</v>
      </c>
      <c r="AI270" s="119" t="n">
        <f aca="false">Tabela54[[#This Row],[Kolumna223]]*Tabela54[[#This Row],[Kolumna63]]</f>
        <v>0</v>
      </c>
      <c r="AJ270" s="119" t="n">
        <v>700</v>
      </c>
      <c r="AK270" s="122" t="n">
        <f aca="false">Tabela54[[#This Row],[Kolumna34]]*12</f>
        <v>8400</v>
      </c>
      <c r="AL270" s="122" t="n">
        <f aca="false">Tabela54[[#This Row],[Kolumna32]]/4.2</f>
        <v>2000</v>
      </c>
      <c r="AM270" s="119" t="n">
        <f aca="false">Tabela54[[#This Row],[Kolumna322]]*Tabela54[[#This Row],[Kolumna63]]</f>
        <v>400</v>
      </c>
      <c r="AN270" s="122"/>
      <c r="AO270" s="122" t="n">
        <f aca="false">Tabela54[[#This Row],[Kolumna5]]*Tabela54[[#This Row],[Kolumna63]]</f>
        <v>0</v>
      </c>
      <c r="AP270" s="53" t="n">
        <v>0.2</v>
      </c>
      <c r="AQ270" s="29"/>
      <c r="AR270" s="29"/>
      <c r="AS270" s="29"/>
      <c r="AT270" s="29"/>
    </row>
    <row r="271" customFormat="false" ht="30.75" hidden="false" customHeight="true" outlineLevel="0" collapsed="false">
      <c r="A271" s="25" t="n">
        <v>264</v>
      </c>
      <c r="B271" s="27" t="s">
        <v>241</v>
      </c>
      <c r="C271" s="49" t="s">
        <v>242</v>
      </c>
      <c r="D271" s="134"/>
      <c r="E271" s="135" t="n">
        <v>105</v>
      </c>
      <c r="F27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216.113636571429</v>
      </c>
      <c r="G271" s="135"/>
      <c r="H271" s="130" t="n">
        <v>2</v>
      </c>
      <c r="I271" s="26" t="n">
        <f aca="false">Tabela43[[#This Row],[Kolumna5]]*20700*0.27778</f>
        <v>11500.092</v>
      </c>
      <c r="J271" s="130"/>
      <c r="K271" s="130"/>
      <c r="L271" s="28" t="n">
        <f aca="false">Tabela43[[#This Row],[Kolumna8]]*0.000843882*40190*0.27778</f>
        <v>0</v>
      </c>
      <c r="M271" s="130" t="n">
        <f aca="false">80*12</f>
        <v>960</v>
      </c>
      <c r="N271" s="146" t="n">
        <f aca="false">Tabela43[[#This Row],[Kolumna84]]/2.55</f>
        <v>376.470588235294</v>
      </c>
      <c r="O271" s="28" t="n">
        <f aca="false">Tabela43[[#This Row],[Kolumna82]]*35.94*0.27778</f>
        <v>3758.46144</v>
      </c>
      <c r="P271" s="130"/>
      <c r="Q271" s="130"/>
      <c r="R271" s="130" t="n">
        <v>2</v>
      </c>
      <c r="S271" s="116" t="n">
        <f aca="false">Tabela43[[#This Row],[Kolumna92]]*0.65</f>
        <v>1.3</v>
      </c>
      <c r="T271" s="28" t="n">
        <f aca="false">Tabela43[[#This Row],[Kolumna10]]*15600*0.27778</f>
        <v>5633.3784</v>
      </c>
      <c r="U271" s="130"/>
      <c r="V271" s="130"/>
      <c r="W271" s="130"/>
      <c r="X271" s="130" t="n">
        <v>150</v>
      </c>
      <c r="Y271" s="130" t="n">
        <f aca="false">Tabela43[[#This Row],[Kolumna1223]]*12</f>
        <v>1800</v>
      </c>
      <c r="Z271" s="28" t="n">
        <f aca="false">Tabela43[[#This Row],[Kolumna123]]/0.55</f>
        <v>3272.72727272727</v>
      </c>
      <c r="AA271" s="125"/>
      <c r="AB271" s="125" t="n">
        <v>400</v>
      </c>
      <c r="AC271" s="125" t="n">
        <f aca="false">Tabela54[[#This Row],[Kolumna22]]*12</f>
        <v>4800</v>
      </c>
      <c r="AD271" s="122" t="n">
        <f aca="false">Tabela54[[#This Row],[Kolumna3]]/4.44</f>
        <v>1081.08108108108</v>
      </c>
      <c r="AE271" s="120" t="n">
        <f aca="false">Tabela54[[#This Row],[Kolumna23]]*Tabela54[[#This Row],[Kolumna63]]</f>
        <v>108.108108108108</v>
      </c>
      <c r="AF271" s="120"/>
      <c r="AG271" s="122" t="n">
        <f aca="false">Tabela54[[#This Row],[Kolumna12]]*12</f>
        <v>0</v>
      </c>
      <c r="AH271" s="122" t="n">
        <f aca="false">Tabela54[[#This Row],[Kolumna222]]/1.59</f>
        <v>0</v>
      </c>
      <c r="AI271" s="119" t="n">
        <f aca="false">Tabela54[[#This Row],[Kolumna223]]*Tabela54[[#This Row],[Kolumna63]]</f>
        <v>0</v>
      </c>
      <c r="AJ271" s="119"/>
      <c r="AK271" s="122" t="n">
        <f aca="false">Tabela54[[#This Row],[Kolumna34]]*12</f>
        <v>0</v>
      </c>
      <c r="AL271" s="122" t="n">
        <f aca="false">Tabela54[[#This Row],[Kolumna32]]/4.2</f>
        <v>0</v>
      </c>
      <c r="AM271" s="119" t="n">
        <f aca="false">Tabela54[[#This Row],[Kolumna322]]*Tabela54[[#This Row],[Kolumna63]]</f>
        <v>0</v>
      </c>
      <c r="AN271" s="122"/>
      <c r="AO271" s="122" t="n">
        <f aca="false">Tabela54[[#This Row],[Kolumna5]]*Tabela54[[#This Row],[Kolumna63]]</f>
        <v>0</v>
      </c>
      <c r="AP271" s="53" t="n">
        <v>0.1</v>
      </c>
      <c r="AQ271" s="29"/>
      <c r="AR271" s="29"/>
      <c r="AS271" s="29"/>
      <c r="AT271" s="29"/>
    </row>
    <row r="272" customFormat="false" ht="30.75" hidden="false" customHeight="true" outlineLevel="0" collapsed="false">
      <c r="A272" s="25" t="n">
        <v>265</v>
      </c>
      <c r="B272" s="27" t="s">
        <v>241</v>
      </c>
      <c r="C272" s="49" t="s">
        <v>242</v>
      </c>
      <c r="D272" s="134"/>
      <c r="E272" s="135" t="n">
        <v>145</v>
      </c>
      <c r="F27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131.449208275862</v>
      </c>
      <c r="G272" s="135"/>
      <c r="H272" s="130"/>
      <c r="I272" s="26" t="n">
        <f aca="false">Tabela43[[#This Row],[Kolumna5]]*20700*0.27778</f>
        <v>0</v>
      </c>
      <c r="J272" s="130"/>
      <c r="K272" s="130"/>
      <c r="L272" s="28" t="n">
        <f aca="false">Tabela43[[#This Row],[Kolumna8]]*0.000843882*40190*0.27778</f>
        <v>0</v>
      </c>
      <c r="M272" s="130"/>
      <c r="N272" s="146" t="n">
        <f aca="false">Tabela43[[#This Row],[Kolumna84]]/2.55</f>
        <v>0</v>
      </c>
      <c r="O272" s="28" t="n">
        <f aca="false">Tabela43[[#This Row],[Kolumna82]]*35.94*0.27778</f>
        <v>0</v>
      </c>
      <c r="P272" s="130" t="n">
        <v>6</v>
      </c>
      <c r="Q272" s="130"/>
      <c r="R272" s="130" t="n">
        <v>6</v>
      </c>
      <c r="S272" s="116" t="n">
        <f aca="false">Tabela43[[#This Row],[Kolumna92]]*0.65</f>
        <v>3.9</v>
      </c>
      <c r="T272" s="28" t="n">
        <f aca="false">Tabela43[[#This Row],[Kolumna10]]*15600*0.27778</f>
        <v>16900.1352</v>
      </c>
      <c r="U272" s="130"/>
      <c r="V272" s="130"/>
      <c r="W272" s="130"/>
      <c r="X272" s="130" t="n">
        <v>180</v>
      </c>
      <c r="Y272" s="130" t="n">
        <f aca="false">Tabela43[[#This Row],[Kolumna1223]]*12</f>
        <v>2160</v>
      </c>
      <c r="Z272" s="28" t="n">
        <f aca="false">Tabela43[[#This Row],[Kolumna123]]/0.55</f>
        <v>3927.27272727273</v>
      </c>
      <c r="AA272" s="125"/>
      <c r="AB272" s="125"/>
      <c r="AC272" s="125" t="n">
        <f aca="false">Tabela54[[#This Row],[Kolumna22]]*12</f>
        <v>0</v>
      </c>
      <c r="AD272" s="122" t="n">
        <f aca="false">Tabela54[[#This Row],[Kolumna3]]/4.44</f>
        <v>0</v>
      </c>
      <c r="AE272" s="120" t="n">
        <f aca="false">Tabela54[[#This Row],[Kolumna23]]*Tabela54[[#This Row],[Kolumna63]]</f>
        <v>0</v>
      </c>
      <c r="AF272" s="120"/>
      <c r="AG272" s="122" t="n">
        <f aca="false">Tabela54[[#This Row],[Kolumna12]]*12</f>
        <v>0</v>
      </c>
      <c r="AH272" s="122" t="n">
        <f aca="false">Tabela54[[#This Row],[Kolumna222]]/1.59</f>
        <v>0</v>
      </c>
      <c r="AI272" s="119" t="n">
        <f aca="false">Tabela54[[#This Row],[Kolumna223]]*Tabela54[[#This Row],[Kolumna63]]</f>
        <v>0</v>
      </c>
      <c r="AJ272" s="119" t="n">
        <v>250</v>
      </c>
      <c r="AK272" s="122" t="n">
        <f aca="false">Tabela54[[#This Row],[Kolumna34]]*12</f>
        <v>3000</v>
      </c>
      <c r="AL272" s="122" t="n">
        <f aca="false">Tabela54[[#This Row],[Kolumna32]]/4.2</f>
        <v>714.285714285714</v>
      </c>
      <c r="AM272" s="119" t="n">
        <f aca="false">Tabela54[[#This Row],[Kolumna322]]*Tabela54[[#This Row],[Kolumna63]]</f>
        <v>321.428571428571</v>
      </c>
      <c r="AN272" s="122"/>
      <c r="AO272" s="122" t="n">
        <f aca="false">Tabela54[[#This Row],[Kolumna5]]*Tabela54[[#This Row],[Kolumna63]]</f>
        <v>0</v>
      </c>
      <c r="AP272" s="53" t="n">
        <v>0.45</v>
      </c>
      <c r="AQ272" s="29"/>
      <c r="AR272" s="29"/>
      <c r="AS272" s="29"/>
      <c r="AT272" s="29"/>
    </row>
    <row r="273" customFormat="false" ht="32.25" hidden="false" customHeight="true" outlineLevel="0" collapsed="false">
      <c r="A273" s="40" t="n">
        <v>266</v>
      </c>
      <c r="B273" s="27" t="s">
        <v>241</v>
      </c>
      <c r="C273" s="49" t="s">
        <v>242</v>
      </c>
      <c r="D273" s="134"/>
      <c r="E273" s="135" t="n">
        <v>75</v>
      </c>
      <c r="F27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278.0531024</v>
      </c>
      <c r="G273" s="135"/>
      <c r="H273" s="130" t="n">
        <v>1.5</v>
      </c>
      <c r="I273" s="26" t="n">
        <f aca="false">Tabela43[[#This Row],[Kolumna5]]*20700*0.27778</f>
        <v>8625.069</v>
      </c>
      <c r="J273" s="130"/>
      <c r="K273" s="130"/>
      <c r="L273" s="28" t="n">
        <f aca="false">Tabela43[[#This Row],[Kolumna8]]*0.000843882*40190*0.27778</f>
        <v>0</v>
      </c>
      <c r="M273" s="130" t="n">
        <f aca="false">60*12</f>
        <v>720</v>
      </c>
      <c r="N273" s="146" t="n">
        <f aca="false">Tabela43[[#This Row],[Kolumna84]]/2.55</f>
        <v>282.352941176471</v>
      </c>
      <c r="O273" s="28" t="n">
        <f aca="false">Tabela43[[#This Row],[Kolumna82]]*35.94*0.27778</f>
        <v>2818.84608</v>
      </c>
      <c r="P273" s="130"/>
      <c r="Q273" s="130"/>
      <c r="R273" s="130" t="n">
        <v>3</v>
      </c>
      <c r="S273" s="116" t="n">
        <f aca="false">Tabela43[[#This Row],[Kolumna92]]*0.65</f>
        <v>1.95</v>
      </c>
      <c r="T273" s="28" t="n">
        <f aca="false">Tabela43[[#This Row],[Kolumna10]]*15600*0.27778</f>
        <v>8450.0676</v>
      </c>
      <c r="U273" s="130"/>
      <c r="V273" s="130"/>
      <c r="W273" s="130"/>
      <c r="X273" s="130" t="n">
        <v>80</v>
      </c>
      <c r="Y273" s="130" t="n">
        <f aca="false">Tabela43[[#This Row],[Kolumna1223]]*12</f>
        <v>960</v>
      </c>
      <c r="Z273" s="28" t="n">
        <f aca="false">Tabela43[[#This Row],[Kolumna123]]/0.55</f>
        <v>1745.45454545455</v>
      </c>
      <c r="AA273" s="125"/>
      <c r="AB273" s="125" t="n">
        <v>80</v>
      </c>
      <c r="AC273" s="125" t="n">
        <f aca="false">Tabela54[[#This Row],[Kolumna22]]*12</f>
        <v>960</v>
      </c>
      <c r="AD273" s="122" t="n">
        <f aca="false">Tabela54[[#This Row],[Kolumna3]]/4.44</f>
        <v>216.216216216216</v>
      </c>
      <c r="AE273" s="120" t="n">
        <f aca="false">Tabela54[[#This Row],[Kolumna23]]*Tabela54[[#This Row],[Kolumna63]]</f>
        <v>108.108108108108</v>
      </c>
      <c r="AF273" s="120" t="n">
        <v>150</v>
      </c>
      <c r="AG273" s="122" t="n">
        <f aca="false">Tabela54[[#This Row],[Kolumna12]]*12</f>
        <v>1800</v>
      </c>
      <c r="AH273" s="122" t="n">
        <f aca="false">Tabela54[[#This Row],[Kolumna222]]/1.59</f>
        <v>1132.07547169811</v>
      </c>
      <c r="AI273" s="119" t="n">
        <f aca="false">Tabela54[[#This Row],[Kolumna223]]*Tabela54[[#This Row],[Kolumna63]]</f>
        <v>566.037735849057</v>
      </c>
      <c r="AJ273" s="119"/>
      <c r="AK273" s="122" t="n">
        <f aca="false">Tabela54[[#This Row],[Kolumna34]]*12</f>
        <v>0</v>
      </c>
      <c r="AL273" s="122" t="n">
        <f aca="false">Tabela54[[#This Row],[Kolumna32]]/4.2</f>
        <v>0</v>
      </c>
      <c r="AM273" s="119" t="n">
        <f aca="false">Tabela54[[#This Row],[Kolumna322]]*Tabela54[[#This Row],[Kolumna63]]</f>
        <v>0</v>
      </c>
      <c r="AN273" s="122"/>
      <c r="AO273" s="122" t="n">
        <f aca="false">Tabela54[[#This Row],[Kolumna5]]*Tabela54[[#This Row],[Kolumna63]]</f>
        <v>0</v>
      </c>
      <c r="AP273" s="53" t="n">
        <v>0.5</v>
      </c>
      <c r="AQ273" s="29"/>
      <c r="AR273" s="29"/>
      <c r="AS273" s="29"/>
      <c r="AT273" s="29"/>
    </row>
    <row r="274" customFormat="false" ht="30.75" hidden="false" customHeight="true" outlineLevel="0" collapsed="false">
      <c r="A274" s="25" t="n">
        <v>267</v>
      </c>
      <c r="B274" s="27" t="s">
        <v>241</v>
      </c>
      <c r="C274" s="49" t="s">
        <v>242</v>
      </c>
      <c r="D274" s="134"/>
      <c r="E274" s="135" t="n">
        <v>90</v>
      </c>
      <c r="F27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220.686833333333</v>
      </c>
      <c r="G274" s="135"/>
      <c r="H274" s="130" t="n">
        <v>2</v>
      </c>
      <c r="I274" s="26" t="n">
        <f aca="false">Tabela43[[#This Row],[Kolumna5]]*20700*0.27778</f>
        <v>11500.092</v>
      </c>
      <c r="J274" s="130"/>
      <c r="K274" s="130"/>
      <c r="L274" s="28" t="n">
        <f aca="false">Tabela43[[#This Row],[Kolumna8]]*0.000843882*40190*0.27778</f>
        <v>0</v>
      </c>
      <c r="M274" s="130"/>
      <c r="N274" s="146" t="n">
        <f aca="false">Tabela43[[#This Row],[Kolumna84]]/2.55</f>
        <v>0</v>
      </c>
      <c r="O274" s="28" t="n">
        <f aca="false">Tabela43[[#This Row],[Kolumna82]]*35.94*0.27778</f>
        <v>0</v>
      </c>
      <c r="P274" s="130" t="n">
        <v>6</v>
      </c>
      <c r="Q274" s="130"/>
      <c r="R274" s="130" t="n">
        <v>2.5</v>
      </c>
      <c r="S274" s="116" t="n">
        <f aca="false">Tabela43[[#This Row],[Kolumna92]]*0.65</f>
        <v>1.625</v>
      </c>
      <c r="T274" s="28" t="n">
        <f aca="false">Tabela43[[#This Row],[Kolumna10]]*15600*0.27778</f>
        <v>7041.723</v>
      </c>
      <c r="U274" s="130"/>
      <c r="V274" s="130"/>
      <c r="W274" s="130"/>
      <c r="X274" s="130" t="n">
        <v>110</v>
      </c>
      <c r="Y274" s="130" t="n">
        <f aca="false">Tabela43[[#This Row],[Kolumna1223]]*12</f>
        <v>1320</v>
      </c>
      <c r="Z274" s="28" t="n">
        <f aca="false">Tabela43[[#This Row],[Kolumna123]]/0.55</f>
        <v>2400</v>
      </c>
      <c r="AA274" s="125"/>
      <c r="AB274" s="125"/>
      <c r="AC274" s="125" t="n">
        <f aca="false">Tabela54[[#This Row],[Kolumna22]]*12</f>
        <v>0</v>
      </c>
      <c r="AD274" s="122" t="n">
        <f aca="false">Tabela54[[#This Row],[Kolumna3]]/4.44</f>
        <v>0</v>
      </c>
      <c r="AE274" s="120" t="n">
        <f aca="false">Tabela54[[#This Row],[Kolumna23]]*Tabela54[[#This Row],[Kolumna63]]</f>
        <v>0</v>
      </c>
      <c r="AF274" s="120"/>
      <c r="AG274" s="122" t="n">
        <f aca="false">Tabela54[[#This Row],[Kolumna12]]*12</f>
        <v>0</v>
      </c>
      <c r="AH274" s="122" t="n">
        <f aca="false">Tabela54[[#This Row],[Kolumna222]]/1.59</f>
        <v>0</v>
      </c>
      <c r="AI274" s="119" t="n">
        <f aca="false">Tabela54[[#This Row],[Kolumna223]]*Tabela54[[#This Row],[Kolumna63]]</f>
        <v>0</v>
      </c>
      <c r="AJ274" s="119"/>
      <c r="AK274" s="122" t="n">
        <f aca="false">Tabela54[[#This Row],[Kolumna34]]*12</f>
        <v>0</v>
      </c>
      <c r="AL274" s="122" t="n">
        <f aca="false">Tabela54[[#This Row],[Kolumna32]]/4.2</f>
        <v>0</v>
      </c>
      <c r="AM274" s="119" t="n">
        <f aca="false">Tabela54[[#This Row],[Kolumna322]]*Tabela54[[#This Row],[Kolumna63]]</f>
        <v>0</v>
      </c>
      <c r="AN274" s="122"/>
      <c r="AO274" s="122" t="n">
        <f aca="false">Tabela54[[#This Row],[Kolumna5]]*Tabela54[[#This Row],[Kolumna63]]</f>
        <v>0</v>
      </c>
      <c r="AP274" s="53"/>
      <c r="AQ274" s="29"/>
      <c r="AR274" s="29"/>
      <c r="AS274" s="29"/>
      <c r="AT274" s="29"/>
    </row>
    <row r="275" customFormat="false" ht="29.25" hidden="false" customHeight="true" outlineLevel="0" collapsed="false">
      <c r="A275" s="25" t="n">
        <v>268</v>
      </c>
      <c r="B275" s="27" t="s">
        <v>241</v>
      </c>
      <c r="C275" s="49" t="s">
        <v>242</v>
      </c>
      <c r="D275" s="134"/>
      <c r="E275" s="135" t="n">
        <v>190</v>
      </c>
      <c r="F27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299.884640842105</v>
      </c>
      <c r="G275" s="135"/>
      <c r="H275" s="130" t="n">
        <v>7</v>
      </c>
      <c r="I275" s="26" t="n">
        <f aca="false">Tabela43[[#This Row],[Kolumna5]]*20700*0.27778</f>
        <v>40250.322</v>
      </c>
      <c r="J275" s="130"/>
      <c r="K275" s="130"/>
      <c r="L275" s="28" t="n">
        <f aca="false">Tabela43[[#This Row],[Kolumna8]]*0.000843882*40190*0.27778</f>
        <v>0</v>
      </c>
      <c r="M275" s="130" t="n">
        <f aca="false">120*12</f>
        <v>1440</v>
      </c>
      <c r="N275" s="146" t="n">
        <f aca="false">Tabela43[[#This Row],[Kolumna84]]/2.55</f>
        <v>564.705882352941</v>
      </c>
      <c r="O275" s="28" t="n">
        <f aca="false">Tabela43[[#This Row],[Kolumna82]]*35.94*0.27778</f>
        <v>5637.69216</v>
      </c>
      <c r="P275" s="130"/>
      <c r="Q275" s="130"/>
      <c r="R275" s="130" t="n">
        <v>3</v>
      </c>
      <c r="S275" s="116" t="n">
        <f aca="false">Tabela43[[#This Row],[Kolumna92]]*0.65</f>
        <v>1.95</v>
      </c>
      <c r="T275" s="28" t="n">
        <f aca="false">Tabela43[[#This Row],[Kolumna10]]*15600*0.27778</f>
        <v>8450.0676</v>
      </c>
      <c r="U275" s="130"/>
      <c r="V275" s="130"/>
      <c r="W275" s="130"/>
      <c r="X275" s="130" t="n">
        <v>220</v>
      </c>
      <c r="Y275" s="130" t="n">
        <f aca="false">Tabela43[[#This Row],[Kolumna1223]]*12</f>
        <v>2640</v>
      </c>
      <c r="Z275" s="28" t="n">
        <f aca="false">Tabela43[[#This Row],[Kolumna123]]/0.55</f>
        <v>4800</v>
      </c>
      <c r="AA275" s="125"/>
      <c r="AB275" s="125" t="n">
        <v>250</v>
      </c>
      <c r="AC275" s="125" t="n">
        <f aca="false">Tabela54[[#This Row],[Kolumna22]]*12</f>
        <v>3000</v>
      </c>
      <c r="AD275" s="122" t="n">
        <f aca="false">Tabela54[[#This Row],[Kolumna3]]/4.44</f>
        <v>675.675675675676</v>
      </c>
      <c r="AE275" s="120" t="n">
        <f aca="false">Tabela54[[#This Row],[Kolumna23]]*Tabela54[[#This Row],[Kolumna63]]</f>
        <v>101.351351351351</v>
      </c>
      <c r="AF275" s="120"/>
      <c r="AG275" s="122" t="n">
        <f aca="false">Tabela54[[#This Row],[Kolumna12]]*12</f>
        <v>0</v>
      </c>
      <c r="AH275" s="122" t="n">
        <f aca="false">Tabela54[[#This Row],[Kolumna222]]/1.59</f>
        <v>0</v>
      </c>
      <c r="AI275" s="119" t="n">
        <f aca="false">Tabela54[[#This Row],[Kolumna223]]*Tabela54[[#This Row],[Kolumna63]]</f>
        <v>0</v>
      </c>
      <c r="AJ275" s="119" t="n">
        <v>350</v>
      </c>
      <c r="AK275" s="122" t="n">
        <f aca="false">Tabela54[[#This Row],[Kolumna34]]*12</f>
        <v>4200</v>
      </c>
      <c r="AL275" s="122" t="n">
        <f aca="false">Tabela54[[#This Row],[Kolumna32]]/4.2</f>
        <v>1000</v>
      </c>
      <c r="AM275" s="119" t="n">
        <f aca="false">Tabela54[[#This Row],[Kolumna322]]*Tabela54[[#This Row],[Kolumna63]]</f>
        <v>150</v>
      </c>
      <c r="AN275" s="122"/>
      <c r="AO275" s="122" t="n">
        <f aca="false">Tabela54[[#This Row],[Kolumna5]]*Tabela54[[#This Row],[Kolumna63]]</f>
        <v>0</v>
      </c>
      <c r="AP275" s="53" t="n">
        <v>0.15</v>
      </c>
      <c r="AQ275" s="29"/>
      <c r="AR275" s="29"/>
      <c r="AS275" s="29"/>
      <c r="AT275" s="29"/>
    </row>
    <row r="276" customFormat="false" ht="32.25" hidden="false" customHeight="true" outlineLevel="0" collapsed="false">
      <c r="A276" s="40" t="n">
        <v>269</v>
      </c>
      <c r="B276" s="27" t="s">
        <v>241</v>
      </c>
      <c r="C276" s="49" t="s">
        <v>242</v>
      </c>
      <c r="D276" s="134"/>
      <c r="E276" s="135" t="n">
        <v>112</v>
      </c>
      <c r="F27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241.582617857143</v>
      </c>
      <c r="G276" s="135"/>
      <c r="H276" s="130" t="n">
        <v>3</v>
      </c>
      <c r="I276" s="26" t="n">
        <f aca="false">Tabela43[[#This Row],[Kolumna5]]*20700*0.27778</f>
        <v>17250.138</v>
      </c>
      <c r="J276" s="130"/>
      <c r="K276" s="130"/>
      <c r="L276" s="28" t="n">
        <f aca="false">Tabela43[[#This Row],[Kolumna8]]*0.000843882*40190*0.27778</f>
        <v>0</v>
      </c>
      <c r="M276" s="130" t="n">
        <f aca="false">150*12</f>
        <v>1800</v>
      </c>
      <c r="N276" s="146" t="n">
        <f aca="false">Tabela43[[#This Row],[Kolumna84]]/2.55</f>
        <v>705.882352941176</v>
      </c>
      <c r="O276" s="28" t="n">
        <f aca="false">Tabela43[[#This Row],[Kolumna82]]*35.94*0.27778</f>
        <v>7047.1152</v>
      </c>
      <c r="P276" s="130"/>
      <c r="Q276" s="130"/>
      <c r="R276" s="130"/>
      <c r="S276" s="116" t="n">
        <f aca="false">Tabela43[[#This Row],[Kolumna92]]*0.65</f>
        <v>0</v>
      </c>
      <c r="T276" s="28" t="n">
        <f aca="false">Tabela43[[#This Row],[Kolumna10]]*15600*0.27778</f>
        <v>0</v>
      </c>
      <c r="U276" s="130"/>
      <c r="V276" s="130"/>
      <c r="W276" s="130"/>
      <c r="X276" s="130" t="n">
        <v>230</v>
      </c>
      <c r="Y276" s="130" t="n">
        <f aca="false">Tabela43[[#This Row],[Kolumna1223]]*12</f>
        <v>2760</v>
      </c>
      <c r="Z276" s="28" t="n">
        <f aca="false">Tabela43[[#This Row],[Kolumna123]]/0.55</f>
        <v>5018.18181818182</v>
      </c>
      <c r="AA276" s="125"/>
      <c r="AB276" s="125" t="n">
        <v>600</v>
      </c>
      <c r="AC276" s="125" t="n">
        <f aca="false">Tabela54[[#This Row],[Kolumna22]]*12</f>
        <v>7200</v>
      </c>
      <c r="AD276" s="122" t="n">
        <f aca="false">Tabela54[[#This Row],[Kolumna3]]/4.44</f>
        <v>1621.62162162162</v>
      </c>
      <c r="AE276" s="120" t="n">
        <f aca="false">Tabela54[[#This Row],[Kolumna23]]*Tabela54[[#This Row],[Kolumna63]]</f>
        <v>324.324324324324</v>
      </c>
      <c r="AF276" s="120"/>
      <c r="AG276" s="122" t="n">
        <f aca="false">Tabela54[[#This Row],[Kolumna12]]*12</f>
        <v>0</v>
      </c>
      <c r="AH276" s="122" t="n">
        <f aca="false">Tabela54[[#This Row],[Kolumna222]]/1.59</f>
        <v>0</v>
      </c>
      <c r="AI276" s="119" t="n">
        <f aca="false">Tabela54[[#This Row],[Kolumna223]]*Tabela54[[#This Row],[Kolumna63]]</f>
        <v>0</v>
      </c>
      <c r="AJ276" s="119"/>
      <c r="AK276" s="122" t="n">
        <f aca="false">Tabela54[[#This Row],[Kolumna34]]*12</f>
        <v>0</v>
      </c>
      <c r="AL276" s="122" t="n">
        <f aca="false">Tabela54[[#This Row],[Kolumna32]]/4.2</f>
        <v>0</v>
      </c>
      <c r="AM276" s="119" t="n">
        <f aca="false">Tabela54[[#This Row],[Kolumna322]]*Tabela54[[#This Row],[Kolumna63]]</f>
        <v>0</v>
      </c>
      <c r="AN276" s="122"/>
      <c r="AO276" s="122" t="n">
        <f aca="false">Tabela54[[#This Row],[Kolumna5]]*Tabela54[[#This Row],[Kolumna63]]</f>
        <v>0</v>
      </c>
      <c r="AP276" s="53" t="n">
        <v>0.2</v>
      </c>
      <c r="AQ276" s="29"/>
      <c r="AR276" s="29"/>
      <c r="AS276" s="29"/>
      <c r="AT276" s="29"/>
    </row>
    <row r="277" customFormat="false" ht="28.5" hidden="false" customHeight="true" outlineLevel="0" collapsed="false">
      <c r="A277" s="25" t="n">
        <v>270</v>
      </c>
      <c r="B277" s="27" t="s">
        <v>241</v>
      </c>
      <c r="C277" s="49" t="s">
        <v>242</v>
      </c>
      <c r="D277" s="134"/>
      <c r="E277" s="135" t="n">
        <v>135</v>
      </c>
      <c r="F27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165.964155555556</v>
      </c>
      <c r="G277" s="135"/>
      <c r="H277" s="130" t="n">
        <v>3.5</v>
      </c>
      <c r="I277" s="26" t="n">
        <f aca="false">Tabela43[[#This Row],[Kolumna5]]*20700*0.27778</f>
        <v>20125.161</v>
      </c>
      <c r="J277" s="130"/>
      <c r="K277" s="130"/>
      <c r="L277" s="28" t="n">
        <f aca="false">Tabela43[[#This Row],[Kolumna8]]*0.000843882*40190*0.27778</f>
        <v>0</v>
      </c>
      <c r="M277" s="130"/>
      <c r="N277" s="146" t="n">
        <f aca="false">Tabela43[[#This Row],[Kolumna84]]/2.55</f>
        <v>0</v>
      </c>
      <c r="O277" s="28" t="n">
        <f aca="false">Tabela43[[#This Row],[Kolumna82]]*35.94*0.27778</f>
        <v>0</v>
      </c>
      <c r="P277" s="130" t="n">
        <v>6</v>
      </c>
      <c r="Q277" s="130"/>
      <c r="R277" s="130"/>
      <c r="S277" s="116" t="n">
        <f aca="false">Tabela43[[#This Row],[Kolumna92]]*0.65</f>
        <v>0</v>
      </c>
      <c r="T277" s="28" t="n">
        <f aca="false">Tabela43[[#This Row],[Kolumna10]]*15600*0.27778</f>
        <v>0</v>
      </c>
      <c r="U277" s="130"/>
      <c r="V277" s="130"/>
      <c r="W277" s="130"/>
      <c r="X277" s="130" t="n">
        <v>190</v>
      </c>
      <c r="Y277" s="130" t="n">
        <f aca="false">Tabela43[[#This Row],[Kolumna1223]]*12</f>
        <v>2280</v>
      </c>
      <c r="Z277" s="28" t="n">
        <f aca="false">Tabela43[[#This Row],[Kolumna123]]/0.55</f>
        <v>4145.45454545454</v>
      </c>
      <c r="AA277" s="125"/>
      <c r="AB277" s="125"/>
      <c r="AC277" s="125" t="n">
        <f aca="false">Tabela54[[#This Row],[Kolumna22]]*12</f>
        <v>0</v>
      </c>
      <c r="AD277" s="122" t="n">
        <f aca="false">Tabela54[[#This Row],[Kolumna3]]/4.44</f>
        <v>0</v>
      </c>
      <c r="AE277" s="120" t="n">
        <f aca="false">Tabela54[[#This Row],[Kolumna23]]*Tabela54[[#This Row],[Kolumna63]]</f>
        <v>0</v>
      </c>
      <c r="AF277" s="120"/>
      <c r="AG277" s="122" t="n">
        <f aca="false">Tabela54[[#This Row],[Kolumna12]]*12</f>
        <v>0</v>
      </c>
      <c r="AH277" s="122" t="n">
        <f aca="false">Tabela54[[#This Row],[Kolumna222]]/1.59</f>
        <v>0</v>
      </c>
      <c r="AI277" s="119" t="n">
        <f aca="false">Tabela54[[#This Row],[Kolumna223]]*Tabela54[[#This Row],[Kolumna63]]</f>
        <v>0</v>
      </c>
      <c r="AJ277" s="119" t="n">
        <v>350</v>
      </c>
      <c r="AK277" s="122" t="n">
        <f aca="false">Tabela54[[#This Row],[Kolumna34]]*12</f>
        <v>4200</v>
      </c>
      <c r="AL277" s="122" t="n">
        <f aca="false">Tabela54[[#This Row],[Kolumna32]]/4.2</f>
        <v>1000</v>
      </c>
      <c r="AM277" s="119" t="n">
        <f aca="false">Tabela54[[#This Row],[Kolumna322]]*Tabela54[[#This Row],[Kolumna63]]</f>
        <v>250</v>
      </c>
      <c r="AN277" s="122"/>
      <c r="AO277" s="122" t="n">
        <f aca="false">Tabela54[[#This Row],[Kolumna5]]*Tabela54[[#This Row],[Kolumna63]]</f>
        <v>0</v>
      </c>
      <c r="AP277" s="53" t="n">
        <v>0.25</v>
      </c>
      <c r="AQ277" s="29"/>
      <c r="AR277" s="29"/>
      <c r="AS277" s="29"/>
      <c r="AT277" s="29"/>
    </row>
    <row r="278" customFormat="false" ht="33" hidden="false" customHeight="true" outlineLevel="0" collapsed="false">
      <c r="A278" s="25" t="n">
        <v>271</v>
      </c>
      <c r="B278" s="27" t="s">
        <v>241</v>
      </c>
      <c r="C278" s="49" t="s">
        <v>242</v>
      </c>
      <c r="D278" s="134"/>
      <c r="E278" s="135" t="n">
        <v>150</v>
      </c>
      <c r="F27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231.0788768</v>
      </c>
      <c r="G278" s="135"/>
      <c r="H278" s="130" t="n">
        <v>4</v>
      </c>
      <c r="I278" s="26" t="n">
        <f aca="false">Tabela43[[#This Row],[Kolumna5]]*20700*0.27778</f>
        <v>23000.184</v>
      </c>
      <c r="J278" s="130"/>
      <c r="K278" s="130"/>
      <c r="L278" s="28" t="n">
        <f aca="false">Tabela43[[#This Row],[Kolumna8]]*0.000843882*40190*0.27778</f>
        <v>0</v>
      </c>
      <c r="M278" s="130" t="n">
        <f aca="false">90*12</f>
        <v>1080</v>
      </c>
      <c r="N278" s="146" t="n">
        <f aca="false">Tabela43[[#This Row],[Kolumna84]]/2.55</f>
        <v>423.529411764706</v>
      </c>
      <c r="O278" s="28" t="n">
        <f aca="false">Tabela43[[#This Row],[Kolumna82]]*35.94*0.27778</f>
        <v>4228.26912</v>
      </c>
      <c r="P278" s="130"/>
      <c r="Q278" s="130"/>
      <c r="R278" s="130" t="n">
        <v>2</v>
      </c>
      <c r="S278" s="116" t="n">
        <f aca="false">Tabela43[[#This Row],[Kolumna92]]*0.65</f>
        <v>1.3</v>
      </c>
      <c r="T278" s="28" t="n">
        <f aca="false">Tabela43[[#This Row],[Kolumna10]]*15600*0.27778</f>
        <v>5633.3784</v>
      </c>
      <c r="U278" s="130"/>
      <c r="V278" s="130"/>
      <c r="W278" s="130"/>
      <c r="X278" s="130" t="n">
        <v>150</v>
      </c>
      <c r="Y278" s="130" t="n">
        <f aca="false">Tabela43[[#This Row],[Kolumna1223]]*12</f>
        <v>1800</v>
      </c>
      <c r="Z278" s="28" t="n">
        <f aca="false">Tabela43[[#This Row],[Kolumna123]]/0.55</f>
        <v>3272.72727272727</v>
      </c>
      <c r="AA278" s="125"/>
      <c r="AB278" s="125"/>
      <c r="AC278" s="125" t="n">
        <f aca="false">Tabela54[[#This Row],[Kolumna22]]*12</f>
        <v>0</v>
      </c>
      <c r="AD278" s="122" t="n">
        <f aca="false">Tabela54[[#This Row],[Kolumna3]]/4.44</f>
        <v>0</v>
      </c>
      <c r="AE278" s="120" t="n">
        <f aca="false">Tabela54[[#This Row],[Kolumna23]]*Tabela54[[#This Row],[Kolumna63]]</f>
        <v>0</v>
      </c>
      <c r="AF278" s="120"/>
      <c r="AG278" s="122" t="n">
        <f aca="false">Tabela54[[#This Row],[Kolumna12]]*12</f>
        <v>0</v>
      </c>
      <c r="AH278" s="122" t="n">
        <f aca="false">Tabela54[[#This Row],[Kolumna222]]/1.59</f>
        <v>0</v>
      </c>
      <c r="AI278" s="119" t="n">
        <f aca="false">Tabela54[[#This Row],[Kolumna223]]*Tabela54[[#This Row],[Kolumna63]]</f>
        <v>0</v>
      </c>
      <c r="AJ278" s="119" t="n">
        <v>250</v>
      </c>
      <c r="AK278" s="122" t="n">
        <f aca="false">Tabela54[[#This Row],[Kolumna34]]*12</f>
        <v>3000</v>
      </c>
      <c r="AL278" s="122" t="n">
        <f aca="false">Tabela54[[#This Row],[Kolumna32]]/4.2</f>
        <v>714.285714285714</v>
      </c>
      <c r="AM278" s="119" t="n">
        <f aca="false">Tabela54[[#This Row],[Kolumna322]]*Tabela54[[#This Row],[Kolumna63]]</f>
        <v>357.142857142857</v>
      </c>
      <c r="AN278" s="122"/>
      <c r="AO278" s="122" t="n">
        <f aca="false">Tabela54[[#This Row],[Kolumna5]]*Tabela54[[#This Row],[Kolumna63]]</f>
        <v>0</v>
      </c>
      <c r="AP278" s="53" t="n">
        <v>0.5</v>
      </c>
      <c r="AQ278" s="29"/>
      <c r="AR278" s="29"/>
      <c r="AS278" s="29"/>
      <c r="AT278" s="29"/>
    </row>
    <row r="279" customFormat="false" ht="33" hidden="false" customHeight="true" outlineLevel="0" collapsed="false">
      <c r="A279" s="40" t="n">
        <v>272</v>
      </c>
      <c r="B279" s="27" t="s">
        <v>241</v>
      </c>
      <c r="C279" s="49" t="s">
        <v>242</v>
      </c>
      <c r="D279" s="134"/>
      <c r="E279" s="135" t="n">
        <v>207</v>
      </c>
      <c r="F27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241.777923478261</v>
      </c>
      <c r="G279" s="135"/>
      <c r="H279" s="130"/>
      <c r="I279" s="26" t="n">
        <f aca="false">Tabela43[[#This Row],[Kolumna5]]*20700*0.27778</f>
        <v>0</v>
      </c>
      <c r="J279" s="130"/>
      <c r="K279" s="130"/>
      <c r="L279" s="28" t="n">
        <f aca="false">Tabela43[[#This Row],[Kolumna8]]*0.000843882*40190*0.27778</f>
        <v>0</v>
      </c>
      <c r="M279" s="130" t="n">
        <f aca="false">120*12</f>
        <v>1440</v>
      </c>
      <c r="N279" s="146" t="n">
        <f aca="false">Tabela43[[#This Row],[Kolumna84]]/2.55</f>
        <v>564.705882352941</v>
      </c>
      <c r="O279" s="28" t="n">
        <f aca="false">Tabela43[[#This Row],[Kolumna82]]*35.94*0.27778</f>
        <v>5637.69216</v>
      </c>
      <c r="P279" s="130"/>
      <c r="Q279" s="130"/>
      <c r="R279" s="130" t="n">
        <v>15</v>
      </c>
      <c r="S279" s="116" t="n">
        <f aca="false">Tabela43[[#This Row],[Kolumna92]]*0.65</f>
        <v>9.75</v>
      </c>
      <c r="T279" s="28" t="n">
        <f aca="false">Tabela43[[#This Row],[Kolumna10]]*15600*0.27778</f>
        <v>42250.338</v>
      </c>
      <c r="U279" s="130"/>
      <c r="V279" s="130"/>
      <c r="W279" s="130"/>
      <c r="X279" s="130" t="n">
        <v>180</v>
      </c>
      <c r="Y279" s="130" t="n">
        <f aca="false">Tabela43[[#This Row],[Kolumna1223]]*12</f>
        <v>2160</v>
      </c>
      <c r="Z279" s="28" t="n">
        <f aca="false">Tabela43[[#This Row],[Kolumna123]]/0.55</f>
        <v>3927.27272727273</v>
      </c>
      <c r="AA279" s="125"/>
      <c r="AB279" s="125" t="n">
        <v>800</v>
      </c>
      <c r="AC279" s="125" t="n">
        <f aca="false">Tabela54[[#This Row],[Kolumna22]]*12</f>
        <v>9600</v>
      </c>
      <c r="AD279" s="122" t="n">
        <f aca="false">Tabela54[[#This Row],[Kolumna3]]/4.44</f>
        <v>2162.16216216216</v>
      </c>
      <c r="AE279" s="120" t="n">
        <f aca="false">Tabela54[[#This Row],[Kolumna23]]*Tabela54[[#This Row],[Kolumna63]]</f>
        <v>540.540540540541</v>
      </c>
      <c r="AF279" s="120"/>
      <c r="AG279" s="122" t="n">
        <f aca="false">Tabela54[[#This Row],[Kolumna12]]*12</f>
        <v>0</v>
      </c>
      <c r="AH279" s="122" t="n">
        <f aca="false">Tabela54[[#This Row],[Kolumna222]]/1.59</f>
        <v>0</v>
      </c>
      <c r="AI279" s="119" t="n">
        <f aca="false">Tabela54[[#This Row],[Kolumna223]]*Tabela54[[#This Row],[Kolumna63]]</f>
        <v>0</v>
      </c>
      <c r="AJ279" s="119"/>
      <c r="AK279" s="122" t="n">
        <f aca="false">Tabela54[[#This Row],[Kolumna34]]*12</f>
        <v>0</v>
      </c>
      <c r="AL279" s="122" t="n">
        <f aca="false">Tabela54[[#This Row],[Kolumna32]]/4.2</f>
        <v>0</v>
      </c>
      <c r="AM279" s="119" t="n">
        <f aca="false">Tabela54[[#This Row],[Kolumna322]]*Tabela54[[#This Row],[Kolumna63]]</f>
        <v>0</v>
      </c>
      <c r="AN279" s="122"/>
      <c r="AO279" s="122" t="n">
        <f aca="false">Tabela54[[#This Row],[Kolumna5]]*Tabela54[[#This Row],[Kolumna63]]</f>
        <v>0</v>
      </c>
      <c r="AP279" s="53" t="n">
        <v>0.25</v>
      </c>
      <c r="AQ279" s="29"/>
      <c r="AR279" s="29"/>
      <c r="AS279" s="29"/>
      <c r="AT279" s="29"/>
    </row>
    <row r="280" customFormat="false" ht="29.25" hidden="false" customHeight="true" outlineLevel="0" collapsed="false">
      <c r="A280" s="25" t="n">
        <v>273</v>
      </c>
      <c r="B280" s="27" t="s">
        <v>241</v>
      </c>
      <c r="C280" s="49" t="s">
        <v>242</v>
      </c>
      <c r="D280" s="134"/>
      <c r="E280" s="135" t="n">
        <v>116</v>
      </c>
      <c r="F28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179.742568965517</v>
      </c>
      <c r="G280" s="135"/>
      <c r="H280" s="130" t="n">
        <v>3</v>
      </c>
      <c r="I280" s="26" t="n">
        <f aca="false">Tabela43[[#This Row],[Kolumna5]]*20700*0.27778</f>
        <v>17250.138</v>
      </c>
      <c r="J280" s="130"/>
      <c r="K280" s="130"/>
      <c r="L280" s="28" t="n">
        <f aca="false">Tabela43[[#This Row],[Kolumna8]]*0.000843882*40190*0.27778</f>
        <v>0</v>
      </c>
      <c r="M280" s="130"/>
      <c r="N280" s="146" t="n">
        <f aca="false">Tabela43[[#This Row],[Kolumna84]]/2.55</f>
        <v>0</v>
      </c>
      <c r="O280" s="28" t="n">
        <f aca="false">Tabela43[[#This Row],[Kolumna82]]*35.94*0.27778</f>
        <v>0</v>
      </c>
      <c r="P280" s="130"/>
      <c r="Q280" s="130"/>
      <c r="R280" s="130"/>
      <c r="S280" s="116" t="n">
        <f aca="false">Tabela43[[#This Row],[Kolumna92]]*0.65</f>
        <v>0</v>
      </c>
      <c r="T280" s="28" t="n">
        <f aca="false">Tabela43[[#This Row],[Kolumna10]]*15600*0.27778</f>
        <v>0</v>
      </c>
      <c r="U280" s="130"/>
      <c r="V280" s="130"/>
      <c r="W280" s="130"/>
      <c r="X280" s="130" t="n">
        <v>300</v>
      </c>
      <c r="Y280" s="130" t="n">
        <f aca="false">Tabela43[[#This Row],[Kolumna1223]]*12</f>
        <v>3600</v>
      </c>
      <c r="Z280" s="28" t="n">
        <f aca="false">Tabela43[[#This Row],[Kolumna123]]/0.55</f>
        <v>6545.45454545455</v>
      </c>
      <c r="AA280" s="125"/>
      <c r="AB280" s="125"/>
      <c r="AC280" s="125" t="n">
        <f aca="false">Tabela54[[#This Row],[Kolumna22]]*12</f>
        <v>0</v>
      </c>
      <c r="AD280" s="122" t="n">
        <f aca="false">Tabela54[[#This Row],[Kolumna3]]/4.44</f>
        <v>0</v>
      </c>
      <c r="AE280" s="120" t="n">
        <f aca="false">Tabela54[[#This Row],[Kolumna23]]*Tabela54[[#This Row],[Kolumna63]]</f>
        <v>0</v>
      </c>
      <c r="AF280" s="120"/>
      <c r="AG280" s="122" t="n">
        <f aca="false">Tabela54[[#This Row],[Kolumna12]]*12</f>
        <v>0</v>
      </c>
      <c r="AH280" s="122" t="n">
        <f aca="false">Tabela54[[#This Row],[Kolumna222]]/1.59</f>
        <v>0</v>
      </c>
      <c r="AI280" s="119" t="n">
        <f aca="false">Tabela54[[#This Row],[Kolumna223]]*Tabela54[[#This Row],[Kolumna63]]</f>
        <v>0</v>
      </c>
      <c r="AJ280" s="119" t="n">
        <v>400</v>
      </c>
      <c r="AK280" s="122" t="n">
        <f aca="false">Tabela54[[#This Row],[Kolumna34]]*12</f>
        <v>4800</v>
      </c>
      <c r="AL280" s="122" t="n">
        <f aca="false">Tabela54[[#This Row],[Kolumna32]]/4.2</f>
        <v>1142.85714285714</v>
      </c>
      <c r="AM280" s="119" t="n">
        <f aca="false">Tabela54[[#This Row],[Kolumna322]]*Tabela54[[#This Row],[Kolumna63]]</f>
        <v>228.571428571429</v>
      </c>
      <c r="AN280" s="122"/>
      <c r="AO280" s="122" t="n">
        <f aca="false">Tabela54[[#This Row],[Kolumna5]]*Tabela54[[#This Row],[Kolumna63]]</f>
        <v>0</v>
      </c>
      <c r="AP280" s="53" t="n">
        <v>0.2</v>
      </c>
      <c r="AQ280" s="29"/>
      <c r="AR280" s="29"/>
      <c r="AS280" s="29"/>
      <c r="AT280" s="29"/>
    </row>
    <row r="281" customFormat="false" ht="32.25" hidden="false" customHeight="true" outlineLevel="0" collapsed="false">
      <c r="A281" s="25" t="n">
        <v>274</v>
      </c>
      <c r="B281" s="27" t="s">
        <v>241</v>
      </c>
      <c r="C281" s="49" t="s">
        <v>242</v>
      </c>
      <c r="D281" s="134"/>
      <c r="E281" s="135" t="n">
        <v>165</v>
      </c>
      <c r="F28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215.908901818182</v>
      </c>
      <c r="G281" s="135"/>
      <c r="H281" s="130"/>
      <c r="I281" s="26" t="n">
        <f aca="false">Tabela43[[#This Row],[Kolumna5]]*20700*0.27778</f>
        <v>0</v>
      </c>
      <c r="J281" s="130"/>
      <c r="K281" s="130"/>
      <c r="L281" s="28" t="n">
        <f aca="false">Tabela43[[#This Row],[Kolumna8]]*0.000843882*40190*0.27778</f>
        <v>0</v>
      </c>
      <c r="M281" s="130" t="n">
        <v>1200</v>
      </c>
      <c r="N281" s="146" t="n">
        <f aca="false">Tabela43[[#This Row],[Kolumna84]]/2.55</f>
        <v>470.588235294118</v>
      </c>
      <c r="O281" s="28" t="n">
        <f aca="false">Tabela43[[#This Row],[Kolumna82]]*35.94*0.27778</f>
        <v>4698.0768</v>
      </c>
      <c r="P281" s="130"/>
      <c r="Q281" s="130"/>
      <c r="R281" s="130" t="n">
        <v>10</v>
      </c>
      <c r="S281" s="116" t="n">
        <f aca="false">Tabela43[[#This Row],[Kolumna92]]*0.65</f>
        <v>6.5</v>
      </c>
      <c r="T281" s="28" t="n">
        <f aca="false">Tabela43[[#This Row],[Kolumna10]]*15600*0.27778</f>
        <v>28166.892</v>
      </c>
      <c r="U281" s="130"/>
      <c r="V281" s="130"/>
      <c r="W281" s="130"/>
      <c r="X281" s="130" t="n">
        <v>230</v>
      </c>
      <c r="Y281" s="130" t="n">
        <f aca="false">Tabela43[[#This Row],[Kolumna1223]]*12</f>
        <v>2760</v>
      </c>
      <c r="Z281" s="28" t="n">
        <f aca="false">Tabela43[[#This Row],[Kolumna123]]/0.55</f>
        <v>5018.18181818182</v>
      </c>
      <c r="AA281" s="125"/>
      <c r="AB281" s="125" t="n">
        <v>100</v>
      </c>
      <c r="AC281" s="125" t="n">
        <f aca="false">Tabela54[[#This Row],[Kolumna22]]*12</f>
        <v>1200</v>
      </c>
      <c r="AD281" s="122" t="n">
        <f aca="false">Tabela54[[#This Row],[Kolumna3]]/4.44</f>
        <v>270.27027027027</v>
      </c>
      <c r="AE281" s="120" t="n">
        <f aca="false">Tabela54[[#This Row],[Kolumna23]]*Tabela54[[#This Row],[Kolumna63]]</f>
        <v>81.0810810810811</v>
      </c>
      <c r="AF281" s="120" t="n">
        <v>150</v>
      </c>
      <c r="AG281" s="122" t="n">
        <f aca="false">Tabela54[[#This Row],[Kolumna12]]*12</f>
        <v>1800</v>
      </c>
      <c r="AH281" s="122" t="n">
        <f aca="false">Tabela54[[#This Row],[Kolumna222]]/1.59</f>
        <v>1132.07547169811</v>
      </c>
      <c r="AI281" s="119" t="n">
        <f aca="false">Tabela54[[#This Row],[Kolumna223]]*Tabela54[[#This Row],[Kolumna63]]</f>
        <v>339.622641509434</v>
      </c>
      <c r="AJ281" s="119"/>
      <c r="AK281" s="122" t="n">
        <f aca="false">Tabela54[[#This Row],[Kolumna34]]*12</f>
        <v>0</v>
      </c>
      <c r="AL281" s="122" t="n">
        <f aca="false">Tabela54[[#This Row],[Kolumna32]]/4.2</f>
        <v>0</v>
      </c>
      <c r="AM281" s="119" t="n">
        <f aca="false">Tabela54[[#This Row],[Kolumna322]]*Tabela54[[#This Row],[Kolumna63]]</f>
        <v>0</v>
      </c>
      <c r="AN281" s="122"/>
      <c r="AO281" s="122" t="n">
        <f aca="false">Tabela54[[#This Row],[Kolumna5]]*Tabela54[[#This Row],[Kolumna63]]</f>
        <v>0</v>
      </c>
      <c r="AP281" s="53" t="n">
        <v>0.3</v>
      </c>
      <c r="AQ281" s="29"/>
      <c r="AR281" s="29"/>
      <c r="AS281" s="29"/>
      <c r="AT281" s="29"/>
    </row>
    <row r="282" customFormat="false" ht="33" hidden="false" customHeight="true" outlineLevel="0" collapsed="false">
      <c r="A282" s="40" t="n">
        <v>275</v>
      </c>
      <c r="B282" s="27" t="s">
        <v>241</v>
      </c>
      <c r="C282" s="49" t="s">
        <v>242</v>
      </c>
      <c r="D282" s="134"/>
      <c r="E282" s="135" t="n">
        <v>145</v>
      </c>
      <c r="F28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167.817335172414</v>
      </c>
      <c r="G282" s="135"/>
      <c r="H282" s="130"/>
      <c r="I282" s="26" t="n">
        <f aca="false">Tabela43[[#This Row],[Kolumna5]]*20700*0.27778</f>
        <v>0</v>
      </c>
      <c r="J282" s="130"/>
      <c r="K282" s="130"/>
      <c r="L282" s="28" t="n">
        <f aca="false">Tabela43[[#This Row],[Kolumna8]]*0.000843882*40190*0.27778</f>
        <v>0</v>
      </c>
      <c r="M282" s="130"/>
      <c r="N282" s="146" t="n">
        <f aca="false">Tabela43[[#This Row],[Kolumna84]]/2.55</f>
        <v>0</v>
      </c>
      <c r="O282" s="28" t="n">
        <f aca="false">Tabela43[[#This Row],[Kolumna82]]*35.94*0.27778</f>
        <v>0</v>
      </c>
      <c r="P282" s="130" t="n">
        <v>6</v>
      </c>
      <c r="Q282" s="130"/>
      <c r="R282" s="130" t="n">
        <v>8</v>
      </c>
      <c r="S282" s="116" t="n">
        <f aca="false">Tabela43[[#This Row],[Kolumna92]]*0.65</f>
        <v>5.2</v>
      </c>
      <c r="T282" s="28" t="n">
        <f aca="false">Tabela43[[#This Row],[Kolumna10]]*15600*0.27778</f>
        <v>22533.5136</v>
      </c>
      <c r="U282" s="130"/>
      <c r="V282" s="130"/>
      <c r="W282" s="130"/>
      <c r="X282" s="130" t="n">
        <v>150</v>
      </c>
      <c r="Y282" s="130" t="n">
        <f aca="false">Tabela43[[#This Row],[Kolumna1223]]*12</f>
        <v>1800</v>
      </c>
      <c r="Z282" s="28" t="n">
        <f aca="false">Tabela43[[#This Row],[Kolumna123]]/0.55</f>
        <v>3272.72727272727</v>
      </c>
      <c r="AA282" s="125"/>
      <c r="AB282" s="125"/>
      <c r="AC282" s="125" t="n">
        <f aca="false">Tabela54[[#This Row],[Kolumna22]]*12</f>
        <v>0</v>
      </c>
      <c r="AD282" s="122" t="n">
        <f aca="false">Tabela54[[#This Row],[Kolumna3]]/4.44</f>
        <v>0</v>
      </c>
      <c r="AE282" s="120" t="n">
        <f aca="false">Tabela54[[#This Row],[Kolumna23]]*Tabela54[[#This Row],[Kolumna63]]</f>
        <v>0</v>
      </c>
      <c r="AF282" s="120"/>
      <c r="AG282" s="122" t="n">
        <f aca="false">Tabela54[[#This Row],[Kolumna12]]*12</f>
        <v>0</v>
      </c>
      <c r="AH282" s="122" t="n">
        <f aca="false">Tabela54[[#This Row],[Kolumna222]]/1.59</f>
        <v>0</v>
      </c>
      <c r="AI282" s="119" t="n">
        <f aca="false">Tabela54[[#This Row],[Kolumna223]]*Tabela54[[#This Row],[Kolumna63]]</f>
        <v>0</v>
      </c>
      <c r="AJ282" s="119" t="n">
        <v>500</v>
      </c>
      <c r="AK282" s="122" t="n">
        <f aca="false">Tabela54[[#This Row],[Kolumna34]]*12</f>
        <v>6000</v>
      </c>
      <c r="AL282" s="122" t="n">
        <f aca="false">Tabela54[[#This Row],[Kolumna32]]/4.2</f>
        <v>1428.57142857143</v>
      </c>
      <c r="AM282" s="119" t="n">
        <f aca="false">Tabela54[[#This Row],[Kolumna322]]*Tabela54[[#This Row],[Kolumna63]]</f>
        <v>214.285714285714</v>
      </c>
      <c r="AN282" s="122"/>
      <c r="AO282" s="122" t="n">
        <f aca="false">Tabela54[[#This Row],[Kolumna5]]*Tabela54[[#This Row],[Kolumna63]]</f>
        <v>0</v>
      </c>
      <c r="AP282" s="53" t="n">
        <v>0.15</v>
      </c>
      <c r="AQ282" s="29"/>
      <c r="AR282" s="29"/>
      <c r="AS282" s="29"/>
      <c r="AT282" s="29"/>
    </row>
    <row r="283" customFormat="false" ht="34.5" hidden="false" customHeight="true" outlineLevel="0" collapsed="false">
      <c r="A283" s="25" t="n">
        <v>276</v>
      </c>
      <c r="B283" s="27" t="s">
        <v>241</v>
      </c>
      <c r="C283" s="49" t="s">
        <v>242</v>
      </c>
      <c r="D283" s="134"/>
      <c r="E283" s="135" t="n">
        <v>110</v>
      </c>
      <c r="F28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193.425676363636</v>
      </c>
      <c r="G283" s="135"/>
      <c r="H283" s="130"/>
      <c r="I283" s="26" t="n">
        <f aca="false">Tabela43[[#This Row],[Kolumna5]]*20700*0.27778</f>
        <v>0</v>
      </c>
      <c r="J283" s="130"/>
      <c r="K283" s="130"/>
      <c r="L283" s="28" t="n">
        <f aca="false">Tabela43[[#This Row],[Kolumna8]]*0.000843882*40190*0.27778</f>
        <v>0</v>
      </c>
      <c r="M283" s="130"/>
      <c r="N283" s="146" t="n">
        <f aca="false">Tabela43[[#This Row],[Kolumna84]]/2.55</f>
        <v>0</v>
      </c>
      <c r="O283" s="28" t="n">
        <f aca="false">Tabela43[[#This Row],[Kolumna82]]*35.94*0.27778</f>
        <v>0</v>
      </c>
      <c r="P283" s="130" t="n">
        <v>6</v>
      </c>
      <c r="Q283" s="130"/>
      <c r="R283" s="130" t="n">
        <v>7</v>
      </c>
      <c r="S283" s="116" t="n">
        <f aca="false">Tabela43[[#This Row],[Kolumna92]]*0.65</f>
        <v>4.55</v>
      </c>
      <c r="T283" s="28" t="n">
        <f aca="false">Tabela43[[#This Row],[Kolumna10]]*15600*0.27778</f>
        <v>19716.8244</v>
      </c>
      <c r="U283" s="130"/>
      <c r="V283" s="130"/>
      <c r="W283" s="130"/>
      <c r="X283" s="130" t="n">
        <v>130</v>
      </c>
      <c r="Y283" s="130" t="n">
        <f aca="false">Tabela43[[#This Row],[Kolumna1223]]*12</f>
        <v>1560</v>
      </c>
      <c r="Z283" s="28" t="n">
        <f aca="false">Tabela43[[#This Row],[Kolumna123]]/0.55</f>
        <v>2836.36363636364</v>
      </c>
      <c r="AA283" s="125"/>
      <c r="AB283" s="125" t="n">
        <v>300</v>
      </c>
      <c r="AC283" s="125" t="n">
        <f aca="false">Tabela54[[#This Row],[Kolumna22]]*12</f>
        <v>3600</v>
      </c>
      <c r="AD283" s="122" t="n">
        <f aca="false">Tabela54[[#This Row],[Kolumna3]]/4.44</f>
        <v>810.810810810811</v>
      </c>
      <c r="AE283" s="120" t="n">
        <f aca="false">Tabela54[[#This Row],[Kolumna23]]*Tabela54[[#This Row],[Kolumna63]]</f>
        <v>40540.5405405405</v>
      </c>
      <c r="AF283" s="120"/>
      <c r="AG283" s="122" t="n">
        <f aca="false">Tabela54[[#This Row],[Kolumna12]]*12</f>
        <v>0</v>
      </c>
      <c r="AH283" s="122" t="n">
        <f aca="false">Tabela54[[#This Row],[Kolumna222]]/1.59</f>
        <v>0</v>
      </c>
      <c r="AI283" s="119" t="n">
        <f aca="false">Tabela54[[#This Row],[Kolumna223]]*Tabela54[[#This Row],[Kolumna63]]</f>
        <v>0</v>
      </c>
      <c r="AJ283" s="119"/>
      <c r="AK283" s="122" t="n">
        <f aca="false">Tabela54[[#This Row],[Kolumna34]]*12</f>
        <v>0</v>
      </c>
      <c r="AL283" s="122" t="n">
        <f aca="false">Tabela54[[#This Row],[Kolumna32]]/4.2</f>
        <v>0</v>
      </c>
      <c r="AM283" s="119" t="n">
        <f aca="false">Tabela54[[#This Row],[Kolumna322]]*Tabela54[[#This Row],[Kolumna63]]</f>
        <v>0</v>
      </c>
      <c r="AN283" s="122"/>
      <c r="AO283" s="122" t="n">
        <f aca="false">Tabela54[[#This Row],[Kolumna5]]*Tabela54[[#This Row],[Kolumna63]]</f>
        <v>0</v>
      </c>
      <c r="AP283" s="53" t="n">
        <v>50</v>
      </c>
      <c r="AQ283" s="29"/>
      <c r="AR283" s="29"/>
      <c r="AS283" s="29"/>
      <c r="AT283" s="29"/>
    </row>
    <row r="284" customFormat="false" ht="30" hidden="false" customHeight="true" outlineLevel="0" collapsed="false">
      <c r="A284" s="25" t="n">
        <v>277</v>
      </c>
      <c r="B284" s="27" t="s">
        <v>241</v>
      </c>
      <c r="C284" s="49" t="s">
        <v>242</v>
      </c>
      <c r="D284" s="134"/>
      <c r="E284" s="135" t="n">
        <v>85</v>
      </c>
      <c r="F28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246.041082352941</v>
      </c>
      <c r="G284" s="135"/>
      <c r="H284" s="130" t="n">
        <v>1</v>
      </c>
      <c r="I284" s="26" t="n">
        <f aca="false">Tabela43[[#This Row],[Kolumna5]]*20700*0.27778</f>
        <v>5750.046</v>
      </c>
      <c r="J284" s="130"/>
      <c r="K284" s="130"/>
      <c r="L284" s="28" t="n">
        <f aca="false">Tabela43[[#This Row],[Kolumna8]]*0.000843882*40190*0.27778</f>
        <v>0</v>
      </c>
      <c r="M284" s="130"/>
      <c r="N284" s="146" t="n">
        <f aca="false">Tabela43[[#This Row],[Kolumna84]]/2.55</f>
        <v>0</v>
      </c>
      <c r="O284" s="28" t="n">
        <f aca="false">Tabela43[[#This Row],[Kolumna82]]*35.94*0.27778</f>
        <v>0</v>
      </c>
      <c r="P284" s="130" t="n">
        <v>6</v>
      </c>
      <c r="Q284" s="130"/>
      <c r="R284" s="130" t="n">
        <v>5</v>
      </c>
      <c r="S284" s="116" t="n">
        <f aca="false">Tabela43[[#This Row],[Kolumna92]]*0.65</f>
        <v>3.25</v>
      </c>
      <c r="T284" s="28" t="n">
        <f aca="false">Tabela43[[#This Row],[Kolumna10]]*15600*0.27778</f>
        <v>14083.446</v>
      </c>
      <c r="U284" s="130"/>
      <c r="V284" s="130"/>
      <c r="W284" s="130"/>
      <c r="X284" s="130" t="n">
        <v>90</v>
      </c>
      <c r="Y284" s="130" t="n">
        <f aca="false">Tabela43[[#This Row],[Kolumna1223]]*12</f>
        <v>1080</v>
      </c>
      <c r="Z284" s="28" t="n">
        <f aca="false">Tabela43[[#This Row],[Kolumna123]]/0.55</f>
        <v>1963.63636363636</v>
      </c>
      <c r="AA284" s="125"/>
      <c r="AB284" s="125"/>
      <c r="AC284" s="125" t="n">
        <f aca="false">Tabela54[[#This Row],[Kolumna22]]*12</f>
        <v>0</v>
      </c>
      <c r="AD284" s="122" t="n">
        <f aca="false">Tabela54[[#This Row],[Kolumna3]]/4.44</f>
        <v>0</v>
      </c>
      <c r="AE284" s="120" t="n">
        <f aca="false">Tabela54[[#This Row],[Kolumna23]]*Tabela54[[#This Row],[Kolumna63]]</f>
        <v>0</v>
      </c>
      <c r="AF284" s="120" t="n">
        <v>150</v>
      </c>
      <c r="AG284" s="122" t="n">
        <f aca="false">Tabela54[[#This Row],[Kolumna12]]*12</f>
        <v>1800</v>
      </c>
      <c r="AH284" s="122" t="n">
        <f aca="false">Tabela54[[#This Row],[Kolumna222]]/1.59</f>
        <v>1132.07547169811</v>
      </c>
      <c r="AI284" s="119" t="n">
        <f aca="false">Tabela54[[#This Row],[Kolumna223]]*Tabela54[[#This Row],[Kolumna63]]</f>
        <v>509.433962264151</v>
      </c>
      <c r="AJ284" s="119"/>
      <c r="AK284" s="122" t="n">
        <f aca="false">Tabela54[[#This Row],[Kolumna34]]*12</f>
        <v>0</v>
      </c>
      <c r="AL284" s="122" t="n">
        <f aca="false">Tabela54[[#This Row],[Kolumna32]]/4.2</f>
        <v>0</v>
      </c>
      <c r="AM284" s="119" t="n">
        <f aca="false">Tabela54[[#This Row],[Kolumna322]]*Tabela54[[#This Row],[Kolumna63]]</f>
        <v>0</v>
      </c>
      <c r="AN284" s="122"/>
      <c r="AO284" s="122" t="n">
        <f aca="false">Tabela54[[#This Row],[Kolumna5]]*Tabela54[[#This Row],[Kolumna63]]</f>
        <v>0</v>
      </c>
      <c r="AP284" s="53" t="n">
        <v>0.45</v>
      </c>
      <c r="AQ284" s="29"/>
      <c r="AR284" s="29"/>
      <c r="AS284" s="29"/>
      <c r="AT284" s="29"/>
    </row>
    <row r="285" customFormat="false" ht="30" hidden="false" customHeight="true" outlineLevel="0" collapsed="false">
      <c r="A285" s="40" t="n">
        <v>278</v>
      </c>
      <c r="B285" s="27" t="s">
        <v>241</v>
      </c>
      <c r="C285" s="49" t="s">
        <v>242</v>
      </c>
      <c r="D285" s="134"/>
      <c r="E285" s="135" t="n">
        <v>205</v>
      </c>
      <c r="F28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291.664602146341</v>
      </c>
      <c r="G285" s="135"/>
      <c r="H285" s="130" t="n">
        <v>5</v>
      </c>
      <c r="I285" s="26" t="n">
        <f aca="false">Tabela43[[#This Row],[Kolumna5]]*20700*0.27778</f>
        <v>28750.23</v>
      </c>
      <c r="J285" s="130"/>
      <c r="K285" s="130"/>
      <c r="L285" s="28" t="n">
        <f aca="false">Tabela43[[#This Row],[Kolumna8]]*0.000843882*40190*0.27778</f>
        <v>0</v>
      </c>
      <c r="M285" s="130" t="n">
        <f aca="false">130*12</f>
        <v>1560</v>
      </c>
      <c r="N285" s="146" t="n">
        <f aca="false">Tabela43[[#This Row],[Kolumna84]]/2.55</f>
        <v>611.764705882353</v>
      </c>
      <c r="O285" s="28" t="n">
        <f aca="false">Tabela43[[#This Row],[Kolumna82]]*35.94*0.27778</f>
        <v>6107.49984</v>
      </c>
      <c r="P285" s="130"/>
      <c r="Q285" s="130"/>
      <c r="R285" s="130" t="n">
        <v>8</v>
      </c>
      <c r="S285" s="116" t="n">
        <f aca="false">Tabela43[[#This Row],[Kolumna92]]*0.65</f>
        <v>5.2</v>
      </c>
      <c r="T285" s="28" t="n">
        <f aca="false">Tabela43[[#This Row],[Kolumna10]]*15600*0.27778</f>
        <v>22533.5136</v>
      </c>
      <c r="U285" s="130"/>
      <c r="V285" s="130"/>
      <c r="W285" s="130"/>
      <c r="X285" s="130" t="n">
        <v>200</v>
      </c>
      <c r="Y285" s="130" t="n">
        <f aca="false">Tabela43[[#This Row],[Kolumna1223]]*12</f>
        <v>2400</v>
      </c>
      <c r="Z285" s="28" t="n">
        <f aca="false">Tabela43[[#This Row],[Kolumna123]]/0.55</f>
        <v>4363.63636363636</v>
      </c>
      <c r="AA285" s="125"/>
      <c r="AB285" s="125"/>
      <c r="AC285" s="125" t="n">
        <f aca="false">Tabela54[[#This Row],[Kolumna22]]*12</f>
        <v>0</v>
      </c>
      <c r="AD285" s="122" t="n">
        <f aca="false">Tabela54[[#This Row],[Kolumna3]]/4.44</f>
        <v>0</v>
      </c>
      <c r="AE285" s="120" t="n">
        <f aca="false">Tabela54[[#This Row],[Kolumna23]]*Tabela54[[#This Row],[Kolumna63]]</f>
        <v>0</v>
      </c>
      <c r="AF285" s="120"/>
      <c r="AG285" s="122" t="n">
        <f aca="false">Tabela54[[#This Row],[Kolumna12]]*12</f>
        <v>0</v>
      </c>
      <c r="AH285" s="122" t="n">
        <f aca="false">Tabela54[[#This Row],[Kolumna222]]/1.59</f>
        <v>0</v>
      </c>
      <c r="AI285" s="119" t="n">
        <f aca="false">Tabela54[[#This Row],[Kolumna223]]*Tabela54[[#This Row],[Kolumna63]]</f>
        <v>0</v>
      </c>
      <c r="AJ285" s="119" t="n">
        <v>600</v>
      </c>
      <c r="AK285" s="122" t="n">
        <f aca="false">Tabela54[[#This Row],[Kolumna34]]*12</f>
        <v>7200</v>
      </c>
      <c r="AL285" s="122" t="n">
        <f aca="false">Tabela54[[#This Row],[Kolumna32]]/4.2</f>
        <v>1714.28571428571</v>
      </c>
      <c r="AM285" s="119" t="n">
        <f aca="false">Tabela54[[#This Row],[Kolumna322]]*Tabela54[[#This Row],[Kolumna63]]</f>
        <v>171.428571428571</v>
      </c>
      <c r="AN285" s="122"/>
      <c r="AO285" s="122" t="n">
        <f aca="false">Tabela54[[#This Row],[Kolumna5]]*Tabela54[[#This Row],[Kolumna63]]</f>
        <v>0</v>
      </c>
      <c r="AP285" s="53" t="n">
        <v>0.1</v>
      </c>
      <c r="AQ285" s="29"/>
      <c r="AR285" s="29"/>
      <c r="AS285" s="29"/>
      <c r="AT285" s="29"/>
    </row>
    <row r="286" customFormat="false" ht="30" hidden="false" customHeight="true" outlineLevel="0" collapsed="false">
      <c r="A286" s="25" t="n">
        <v>279</v>
      </c>
      <c r="B286" s="27" t="s">
        <v>241</v>
      </c>
      <c r="C286" s="49" t="s">
        <v>242</v>
      </c>
      <c r="D286" s="134"/>
      <c r="E286" s="135" t="n">
        <v>180</v>
      </c>
      <c r="F28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219.041406</v>
      </c>
      <c r="G286" s="135"/>
      <c r="H286" s="130" t="n">
        <v>3.5</v>
      </c>
      <c r="I286" s="26" t="n">
        <f aca="false">Tabela43[[#This Row],[Kolumna5]]*20700*0.27778</f>
        <v>20125.161</v>
      </c>
      <c r="J286" s="130"/>
      <c r="K286" s="130"/>
      <c r="L286" s="28" t="n">
        <f aca="false">Tabela43[[#This Row],[Kolumna8]]*0.000843882*40190*0.27778</f>
        <v>0</v>
      </c>
      <c r="M286" s="130" t="n">
        <f aca="false">60*12</f>
        <v>720</v>
      </c>
      <c r="N286" s="146" t="n">
        <f aca="false">Tabela43[[#This Row],[Kolumna84]]/2.55</f>
        <v>282.352941176471</v>
      </c>
      <c r="O286" s="28" t="n">
        <f aca="false">Tabela43[[#This Row],[Kolumna82]]*35.94*0.27778</f>
        <v>2818.84608</v>
      </c>
      <c r="P286" s="130"/>
      <c r="Q286" s="130"/>
      <c r="R286" s="130" t="n">
        <v>5</v>
      </c>
      <c r="S286" s="116" t="n">
        <f aca="false">Tabela43[[#This Row],[Kolumna92]]*0.65</f>
        <v>3.25</v>
      </c>
      <c r="T286" s="28" t="n">
        <f aca="false">Tabela43[[#This Row],[Kolumna10]]*15600*0.27778</f>
        <v>14083.446</v>
      </c>
      <c r="U286" s="130"/>
      <c r="V286" s="130"/>
      <c r="W286" s="130"/>
      <c r="X286" s="130" t="n">
        <v>200</v>
      </c>
      <c r="Y286" s="130" t="n">
        <f aca="false">Tabela43[[#This Row],[Kolumna1223]]*12</f>
        <v>2400</v>
      </c>
      <c r="Z286" s="28" t="n">
        <f aca="false">Tabela43[[#This Row],[Kolumna123]]/0.55</f>
        <v>4363.63636363636</v>
      </c>
      <c r="AA286" s="125"/>
      <c r="AB286" s="125" t="n">
        <v>500</v>
      </c>
      <c r="AC286" s="125" t="n">
        <f aca="false">Tabela54[[#This Row],[Kolumna22]]*12</f>
        <v>6000</v>
      </c>
      <c r="AD286" s="122" t="n">
        <f aca="false">Tabela54[[#This Row],[Kolumna3]]/4.44</f>
        <v>1351.35135135135</v>
      </c>
      <c r="AE286" s="120" t="n">
        <f aca="false">Tabela54[[#This Row],[Kolumna23]]*Tabela54[[#This Row],[Kolumna63]]</f>
        <v>337.837837837838</v>
      </c>
      <c r="AF286" s="120"/>
      <c r="AG286" s="122" t="n">
        <f aca="false">Tabela54[[#This Row],[Kolumna12]]*12</f>
        <v>0</v>
      </c>
      <c r="AH286" s="122" t="n">
        <f aca="false">Tabela54[[#This Row],[Kolumna222]]/1.59</f>
        <v>0</v>
      </c>
      <c r="AI286" s="119" t="n">
        <f aca="false">Tabela54[[#This Row],[Kolumna223]]*Tabela54[[#This Row],[Kolumna63]]</f>
        <v>0</v>
      </c>
      <c r="AJ286" s="119" t="n">
        <v>150</v>
      </c>
      <c r="AK286" s="122" t="n">
        <f aca="false">Tabela54[[#This Row],[Kolumna34]]*12</f>
        <v>1800</v>
      </c>
      <c r="AL286" s="122" t="n">
        <f aca="false">Tabela54[[#This Row],[Kolumna32]]/4.2</f>
        <v>428.571428571429</v>
      </c>
      <c r="AM286" s="119" t="n">
        <f aca="false">Tabela54[[#This Row],[Kolumna322]]*Tabela54[[#This Row],[Kolumna63]]</f>
        <v>107.142857142857</v>
      </c>
      <c r="AN286" s="122"/>
      <c r="AO286" s="122" t="n">
        <f aca="false">Tabela54[[#This Row],[Kolumna5]]*Tabela54[[#This Row],[Kolumna63]]</f>
        <v>0</v>
      </c>
      <c r="AP286" s="53" t="n">
        <v>0.25</v>
      </c>
      <c r="AQ286" s="29"/>
      <c r="AR286" s="29"/>
      <c r="AS286" s="29"/>
      <c r="AT286" s="29"/>
    </row>
    <row r="287" customFormat="false" ht="30.75" hidden="false" customHeight="true" outlineLevel="0" collapsed="false">
      <c r="A287" s="25" t="n">
        <v>280</v>
      </c>
      <c r="B287" s="27" t="s">
        <v>241</v>
      </c>
      <c r="C287" s="49" t="s">
        <v>242</v>
      </c>
      <c r="D287" s="134"/>
      <c r="E287" s="135" t="n">
        <v>105</v>
      </c>
      <c r="F28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214.937184</v>
      </c>
      <c r="G287" s="135"/>
      <c r="H287" s="130"/>
      <c r="I287" s="26" t="n">
        <f aca="false">Tabela43[[#This Row],[Kolumna5]]*20700*0.27778</f>
        <v>0</v>
      </c>
      <c r="J287" s="130"/>
      <c r="K287" s="130"/>
      <c r="L287" s="28" t="n">
        <f aca="false">Tabela43[[#This Row],[Kolumna8]]*0.000843882*40190*0.27778</f>
        <v>0</v>
      </c>
      <c r="M287" s="130" t="n">
        <f aca="false">90*12</f>
        <v>1080</v>
      </c>
      <c r="N287" s="146" t="n">
        <f aca="false">Tabela43[[#This Row],[Kolumna84]]/2.55</f>
        <v>423.529411764706</v>
      </c>
      <c r="O287" s="28" t="n">
        <f aca="false">Tabela43[[#This Row],[Kolumna82]]*35.94*0.27778</f>
        <v>4228.26912</v>
      </c>
      <c r="P287" s="130"/>
      <c r="Q287" s="130"/>
      <c r="R287" s="130" t="n">
        <v>6</v>
      </c>
      <c r="S287" s="116" t="n">
        <f aca="false">Tabela43[[#This Row],[Kolumna92]]*0.65</f>
        <v>3.9</v>
      </c>
      <c r="T287" s="28" t="n">
        <f aca="false">Tabela43[[#This Row],[Kolumna10]]*15600*0.27778</f>
        <v>16900.1352</v>
      </c>
      <c r="U287" s="130"/>
      <c r="V287" s="130"/>
      <c r="W287" s="130"/>
      <c r="X287" s="130" t="n">
        <v>120</v>
      </c>
      <c r="Y287" s="130" t="n">
        <f aca="false">Tabela43[[#This Row],[Kolumna1223]]*12</f>
        <v>1440</v>
      </c>
      <c r="Z287" s="28" t="n">
        <f aca="false">Tabela43[[#This Row],[Kolumna123]]/0.55</f>
        <v>2618.18181818182</v>
      </c>
      <c r="AA287" s="125"/>
      <c r="AB287" s="125" t="n">
        <v>50</v>
      </c>
      <c r="AC287" s="125" t="n">
        <f aca="false">Tabela54[[#This Row],[Kolumna22]]*12</f>
        <v>600</v>
      </c>
      <c r="AD287" s="122" t="n">
        <f aca="false">Tabela54[[#This Row],[Kolumna3]]/4.44</f>
        <v>135.135135135135</v>
      </c>
      <c r="AE287" s="120" t="n">
        <f aca="false">Tabela54[[#This Row],[Kolumna23]]*Tabela54[[#This Row],[Kolumna63]]</f>
        <v>67.5675675675676</v>
      </c>
      <c r="AF287" s="120" t="n">
        <v>150</v>
      </c>
      <c r="AG287" s="122" t="n">
        <f aca="false">Tabela54[[#This Row],[Kolumna12]]*12</f>
        <v>1800</v>
      </c>
      <c r="AH287" s="122" t="n">
        <f aca="false">Tabela54[[#This Row],[Kolumna222]]/1.59</f>
        <v>1132.07547169811</v>
      </c>
      <c r="AI287" s="119" t="n">
        <f aca="false">Tabela54[[#This Row],[Kolumna223]]*Tabela54[[#This Row],[Kolumna63]]</f>
        <v>566.037735849057</v>
      </c>
      <c r="AJ287" s="119" t="n">
        <v>300</v>
      </c>
      <c r="AK287" s="122" t="n">
        <f aca="false">Tabela54[[#This Row],[Kolumna34]]*12</f>
        <v>3600</v>
      </c>
      <c r="AL287" s="122" t="n">
        <f aca="false">Tabela54[[#This Row],[Kolumna32]]/4.2</f>
        <v>857.142857142857</v>
      </c>
      <c r="AM287" s="119" t="n">
        <f aca="false">Tabela54[[#This Row],[Kolumna322]]*Tabela54[[#This Row],[Kolumna63]]</f>
        <v>428.571428571429</v>
      </c>
      <c r="AN287" s="122"/>
      <c r="AO287" s="122" t="n">
        <f aca="false">Tabela54[[#This Row],[Kolumna5]]*Tabela54[[#This Row],[Kolumna63]]</f>
        <v>0</v>
      </c>
      <c r="AP287" s="53" t="n">
        <v>0.5</v>
      </c>
      <c r="AQ287" s="29"/>
      <c r="AR287" s="29"/>
      <c r="AS287" s="29"/>
      <c r="AT287" s="29"/>
    </row>
    <row r="288" customFormat="false" ht="29.25" hidden="false" customHeight="true" outlineLevel="0" collapsed="false">
      <c r="A288" s="40" t="n">
        <v>281</v>
      </c>
      <c r="B288" s="27" t="s">
        <v>241</v>
      </c>
      <c r="C288" s="49" t="s">
        <v>242</v>
      </c>
      <c r="D288" s="134"/>
      <c r="E288" s="135" t="n">
        <v>120</v>
      </c>
      <c r="F28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257.64079</v>
      </c>
      <c r="G288" s="135"/>
      <c r="H288" s="130" t="n">
        <v>3</v>
      </c>
      <c r="I288" s="26" t="n">
        <f aca="false">Tabela43[[#This Row],[Kolumna5]]*20700*0.27778</f>
        <v>17250.138</v>
      </c>
      <c r="J288" s="130"/>
      <c r="K288" s="130"/>
      <c r="L288" s="28" t="n">
        <f aca="false">Tabela43[[#This Row],[Kolumna8]]*0.000843882*40190*0.27778</f>
        <v>0</v>
      </c>
      <c r="M288" s="130"/>
      <c r="N288" s="146" t="n">
        <f aca="false">Tabela43[[#This Row],[Kolumna84]]/2.55</f>
        <v>0</v>
      </c>
      <c r="O288" s="28" t="n">
        <f aca="false">Tabela43[[#This Row],[Kolumna82]]*35.94*0.27778</f>
        <v>0</v>
      </c>
      <c r="P288" s="130" t="n">
        <v>6</v>
      </c>
      <c r="Q288" s="130"/>
      <c r="R288" s="130" t="n">
        <v>4</v>
      </c>
      <c r="S288" s="116" t="n">
        <f aca="false">Tabela43[[#This Row],[Kolumna92]]*0.65</f>
        <v>2.6</v>
      </c>
      <c r="T288" s="28" t="n">
        <f aca="false">Tabela43[[#This Row],[Kolumna10]]*15600*0.27778</f>
        <v>11266.7568</v>
      </c>
      <c r="U288" s="130"/>
      <c r="V288" s="130"/>
      <c r="W288" s="130"/>
      <c r="X288" s="130" t="n">
        <v>200</v>
      </c>
      <c r="Y288" s="130" t="n">
        <f aca="false">Tabela43[[#This Row],[Kolumna1223]]*12</f>
        <v>2400</v>
      </c>
      <c r="Z288" s="28" t="n">
        <f aca="false">Tabela43[[#This Row],[Kolumna123]]/0.55</f>
        <v>4363.63636363636</v>
      </c>
      <c r="AA288" s="125"/>
      <c r="AB288" s="125"/>
      <c r="AC288" s="125" t="n">
        <f aca="false">Tabela54[[#This Row],[Kolumna22]]*12</f>
        <v>0</v>
      </c>
      <c r="AD288" s="122" t="n">
        <f aca="false">Tabela54[[#This Row],[Kolumna3]]/4.44</f>
        <v>0</v>
      </c>
      <c r="AE288" s="120" t="n">
        <f aca="false">Tabela54[[#This Row],[Kolumna23]]*Tabela54[[#This Row],[Kolumna63]]</f>
        <v>0</v>
      </c>
      <c r="AF288" s="120"/>
      <c r="AG288" s="122" t="n">
        <f aca="false">Tabela54[[#This Row],[Kolumna12]]*12</f>
        <v>0</v>
      </c>
      <c r="AH288" s="122" t="n">
        <f aca="false">Tabela54[[#This Row],[Kolumna222]]/1.59</f>
        <v>0</v>
      </c>
      <c r="AI288" s="119" t="n">
        <f aca="false">Tabela54[[#This Row],[Kolumna223]]*Tabela54[[#This Row],[Kolumna63]]</f>
        <v>0</v>
      </c>
      <c r="AJ288" s="119" t="n">
        <v>500</v>
      </c>
      <c r="AK288" s="122" t="n">
        <f aca="false">Tabela54[[#This Row],[Kolumna34]]*12</f>
        <v>6000</v>
      </c>
      <c r="AL288" s="122" t="n">
        <f aca="false">Tabela54[[#This Row],[Kolumna32]]/4.2</f>
        <v>1428.57142857143</v>
      </c>
      <c r="AM288" s="119" t="n">
        <f aca="false">Tabela54[[#This Row],[Kolumna322]]*Tabela54[[#This Row],[Kolumna63]]</f>
        <v>71.4285714285714</v>
      </c>
      <c r="AN288" s="122"/>
      <c r="AO288" s="122" t="n">
        <f aca="false">Tabela54[[#This Row],[Kolumna5]]*Tabela54[[#This Row],[Kolumna63]]</f>
        <v>0</v>
      </c>
      <c r="AP288" s="53" t="n">
        <v>0.05</v>
      </c>
      <c r="AQ288" s="29"/>
      <c r="AR288" s="29"/>
      <c r="AS288" s="29"/>
      <c r="AT288" s="29"/>
    </row>
    <row r="289" customFormat="false" ht="27" hidden="false" customHeight="true" outlineLevel="0" collapsed="false">
      <c r="A289" s="25" t="n">
        <v>282</v>
      </c>
      <c r="B289" s="27" t="s">
        <v>241</v>
      </c>
      <c r="C289" s="49" t="s">
        <v>242</v>
      </c>
      <c r="D289" s="134"/>
      <c r="E289" s="135" t="n">
        <v>200</v>
      </c>
      <c r="F28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247.942074</v>
      </c>
      <c r="G289" s="135"/>
      <c r="H289" s="130"/>
      <c r="I289" s="26" t="n">
        <f aca="false">Tabela43[[#This Row],[Kolumna5]]*20700*0.27778</f>
        <v>0</v>
      </c>
      <c r="J289" s="130"/>
      <c r="K289" s="130"/>
      <c r="L289" s="28" t="n">
        <f aca="false">Tabela43[[#This Row],[Kolumna8]]*0.000843882*40190*0.27778</f>
        <v>0</v>
      </c>
      <c r="M289" s="130" t="n">
        <f aca="false">100*12</f>
        <v>1200</v>
      </c>
      <c r="N289" s="146" t="n">
        <f aca="false">Tabela43[[#This Row],[Kolumna84]]/2.55</f>
        <v>470.588235294118</v>
      </c>
      <c r="O289" s="28" t="n">
        <f aca="false">Tabela43[[#This Row],[Kolumna82]]*35.94*0.27778</f>
        <v>4698.0768</v>
      </c>
      <c r="P289" s="130"/>
      <c r="Q289" s="130"/>
      <c r="R289" s="130" t="n">
        <v>15</v>
      </c>
      <c r="S289" s="116" t="n">
        <f aca="false">Tabela43[[#This Row],[Kolumna92]]*0.65</f>
        <v>9.75</v>
      </c>
      <c r="T289" s="28" t="n">
        <f aca="false">Tabela43[[#This Row],[Kolumna10]]*15600*0.27778</f>
        <v>42250.338</v>
      </c>
      <c r="U289" s="130"/>
      <c r="V289" s="130"/>
      <c r="W289" s="130"/>
      <c r="X289" s="130" t="n">
        <v>220</v>
      </c>
      <c r="Y289" s="130" t="n">
        <f aca="false">Tabela43[[#This Row],[Kolumna1223]]*12</f>
        <v>2640</v>
      </c>
      <c r="Z289" s="28" t="n">
        <f aca="false">Tabela43[[#This Row],[Kolumna123]]/0.55</f>
        <v>4800</v>
      </c>
      <c r="AA289" s="125"/>
      <c r="AB289" s="125"/>
      <c r="AC289" s="125" t="n">
        <f aca="false">Tabela54[[#This Row],[Kolumna22]]*12</f>
        <v>0</v>
      </c>
      <c r="AD289" s="122" t="n">
        <f aca="false">Tabela54[[#This Row],[Kolumna3]]/4.44</f>
        <v>0</v>
      </c>
      <c r="AE289" s="120" t="n">
        <f aca="false">Tabela54[[#This Row],[Kolumna23]]*Tabela54[[#This Row],[Kolumna63]]</f>
        <v>0</v>
      </c>
      <c r="AF289" s="120" t="n">
        <v>100</v>
      </c>
      <c r="AG289" s="122" t="n">
        <f aca="false">Tabela54[[#This Row],[Kolumna12]]*12</f>
        <v>1200</v>
      </c>
      <c r="AH289" s="122" t="n">
        <f aca="false">Tabela54[[#This Row],[Kolumna222]]/1.59</f>
        <v>754.716981132076</v>
      </c>
      <c r="AI289" s="119" t="n">
        <f aca="false">Tabela54[[#This Row],[Kolumna223]]*Tabela54[[#This Row],[Kolumna63]]</f>
        <v>113.207547169811</v>
      </c>
      <c r="AJ289" s="119" t="n">
        <v>800</v>
      </c>
      <c r="AK289" s="122" t="n">
        <f aca="false">Tabela54[[#This Row],[Kolumna34]]*12</f>
        <v>9600</v>
      </c>
      <c r="AL289" s="122" t="n">
        <f aca="false">Tabela54[[#This Row],[Kolumna32]]/4.2</f>
        <v>2285.71428571429</v>
      </c>
      <c r="AM289" s="119" t="n">
        <f aca="false">Tabela54[[#This Row],[Kolumna322]]*Tabela54[[#This Row],[Kolumna63]]</f>
        <v>342.857142857143</v>
      </c>
      <c r="AN289" s="122"/>
      <c r="AO289" s="122" t="n">
        <f aca="false">Tabela54[[#This Row],[Kolumna5]]*Tabela54[[#This Row],[Kolumna63]]</f>
        <v>0</v>
      </c>
      <c r="AP289" s="53" t="n">
        <v>0.15</v>
      </c>
      <c r="AQ289" s="29"/>
      <c r="AR289" s="29"/>
      <c r="AS289" s="29"/>
      <c r="AT289" s="29"/>
    </row>
    <row r="290" customFormat="false" ht="30.75" hidden="false" customHeight="true" outlineLevel="0" collapsed="false">
      <c r="A290" s="25" t="n">
        <v>283</v>
      </c>
      <c r="B290" s="27" t="s">
        <v>241</v>
      </c>
      <c r="C290" s="49" t="s">
        <v>242</v>
      </c>
      <c r="D290" s="134"/>
      <c r="E290" s="135" t="n">
        <v>150</v>
      </c>
      <c r="F29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189.6118848</v>
      </c>
      <c r="G290" s="135"/>
      <c r="H290" s="130"/>
      <c r="I290" s="26" t="n">
        <f aca="false">Tabela43[[#This Row],[Kolumna5]]*20700*0.27778</f>
        <v>0</v>
      </c>
      <c r="J290" s="130"/>
      <c r="K290" s="130"/>
      <c r="L290" s="28" t="n">
        <f aca="false">Tabela43[[#This Row],[Kolumna8]]*0.000843882*40190*0.27778</f>
        <v>0</v>
      </c>
      <c r="M290" s="130" t="n">
        <f aca="false">90*12</f>
        <v>1080</v>
      </c>
      <c r="N290" s="146" t="n">
        <f aca="false">Tabela43[[#This Row],[Kolumna84]]/2.55</f>
        <v>423.529411764706</v>
      </c>
      <c r="O290" s="28" t="n">
        <f aca="false">Tabela43[[#This Row],[Kolumna82]]*35.94*0.27778</f>
        <v>4228.26912</v>
      </c>
      <c r="P290" s="130"/>
      <c r="Q290" s="130"/>
      <c r="R290" s="130" t="n">
        <v>8</v>
      </c>
      <c r="S290" s="116" t="n">
        <f aca="false">Tabela43[[#This Row],[Kolumna92]]*0.65</f>
        <v>5.2</v>
      </c>
      <c r="T290" s="28" t="n">
        <f aca="false">Tabela43[[#This Row],[Kolumna10]]*15600*0.27778</f>
        <v>22533.5136</v>
      </c>
      <c r="U290" s="130"/>
      <c r="V290" s="130"/>
      <c r="W290" s="130"/>
      <c r="X290" s="130" t="n">
        <v>140</v>
      </c>
      <c r="Y290" s="130" t="n">
        <f aca="false">Tabela43[[#This Row],[Kolumna1223]]*12</f>
        <v>1680</v>
      </c>
      <c r="Z290" s="28" t="n">
        <f aca="false">Tabela43[[#This Row],[Kolumna123]]/0.55</f>
        <v>3054.54545454545</v>
      </c>
      <c r="AA290" s="125"/>
      <c r="AB290" s="125" t="n">
        <v>250</v>
      </c>
      <c r="AC290" s="125" t="n">
        <f aca="false">Tabela54[[#This Row],[Kolumna22]]*12</f>
        <v>3000</v>
      </c>
      <c r="AD290" s="122" t="n">
        <f aca="false">Tabela54[[#This Row],[Kolumna3]]/4.44</f>
        <v>675.675675675676</v>
      </c>
      <c r="AE290" s="120" t="n">
        <f aca="false">Tabela54[[#This Row],[Kolumna23]]*Tabela54[[#This Row],[Kolumna63]]</f>
        <v>202.702702702703</v>
      </c>
      <c r="AF290" s="120"/>
      <c r="AG290" s="122" t="n">
        <f aca="false">Tabela54[[#This Row],[Kolumna12]]*12</f>
        <v>0</v>
      </c>
      <c r="AH290" s="122" t="n">
        <f aca="false">Tabela54[[#This Row],[Kolumna222]]/1.59</f>
        <v>0</v>
      </c>
      <c r="AI290" s="119" t="n">
        <f aca="false">Tabela54[[#This Row],[Kolumna223]]*Tabela54[[#This Row],[Kolumna63]]</f>
        <v>0</v>
      </c>
      <c r="AJ290" s="119" t="n">
        <v>200</v>
      </c>
      <c r="AK290" s="122" t="n">
        <f aca="false">Tabela54[[#This Row],[Kolumna34]]*12</f>
        <v>2400</v>
      </c>
      <c r="AL290" s="122" t="n">
        <f aca="false">Tabela54[[#This Row],[Kolumna32]]/4.2</f>
        <v>571.428571428571</v>
      </c>
      <c r="AM290" s="119" t="n">
        <f aca="false">Tabela54[[#This Row],[Kolumna322]]*Tabela54[[#This Row],[Kolumna63]]</f>
        <v>171.428571428571</v>
      </c>
      <c r="AN290" s="122"/>
      <c r="AO290" s="122" t="n">
        <f aca="false">Tabela54[[#This Row],[Kolumna5]]*Tabela54[[#This Row],[Kolumna63]]</f>
        <v>0</v>
      </c>
      <c r="AP290" s="53" t="n">
        <v>0.3</v>
      </c>
      <c r="AQ290" s="29"/>
      <c r="AR290" s="29"/>
      <c r="AS290" s="29"/>
      <c r="AT290" s="29"/>
    </row>
    <row r="291" customFormat="false" ht="30" hidden="false" customHeight="true" outlineLevel="0" collapsed="false">
      <c r="A291" s="40" t="n">
        <v>284</v>
      </c>
      <c r="B291" s="27" t="s">
        <v>241</v>
      </c>
      <c r="C291" s="49" t="s">
        <v>242</v>
      </c>
      <c r="D291" s="134"/>
      <c r="E291" s="135" t="n">
        <v>70</v>
      </c>
      <c r="F29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213.192085714286</v>
      </c>
      <c r="G291" s="135"/>
      <c r="H291" s="130"/>
      <c r="I291" s="26" t="n">
        <f aca="false">Tabela43[[#This Row],[Kolumna5]]*20700*0.27778</f>
        <v>0</v>
      </c>
      <c r="J291" s="130"/>
      <c r="K291" s="130"/>
      <c r="L291" s="28" t="n">
        <f aca="false">Tabela43[[#This Row],[Kolumna8]]*0.000843882*40190*0.27778</f>
        <v>0</v>
      </c>
      <c r="M291" s="130"/>
      <c r="N291" s="146" t="n">
        <f aca="false">Tabela43[[#This Row],[Kolumna84]]/2.55</f>
        <v>0</v>
      </c>
      <c r="O291" s="28" t="n">
        <f aca="false">Tabela43[[#This Row],[Kolumna82]]*35.94*0.27778</f>
        <v>0</v>
      </c>
      <c r="P291" s="130" t="n">
        <v>6</v>
      </c>
      <c r="Q291" s="130"/>
      <c r="R291" s="130" t="n">
        <v>5</v>
      </c>
      <c r="S291" s="116" t="n">
        <f aca="false">Tabela43[[#This Row],[Kolumna92]]*0.65</f>
        <v>3.25</v>
      </c>
      <c r="T291" s="28" t="n">
        <f aca="false">Tabela43[[#This Row],[Kolumna10]]*15600*0.27778</f>
        <v>14083.446</v>
      </c>
      <c r="U291" s="130"/>
      <c r="V291" s="130"/>
      <c r="W291" s="130"/>
      <c r="X291" s="130" t="n">
        <v>70</v>
      </c>
      <c r="Y291" s="130" t="n">
        <f aca="false">Tabela43[[#This Row],[Kolumna1223]]*12</f>
        <v>840</v>
      </c>
      <c r="Z291" s="28" t="n">
        <f aca="false">Tabela43[[#This Row],[Kolumna123]]/0.55</f>
        <v>1527.27272727273</v>
      </c>
      <c r="AA291" s="125"/>
      <c r="AB291" s="125"/>
      <c r="AC291" s="125" t="n">
        <f aca="false">Tabela54[[#This Row],[Kolumna22]]*12</f>
        <v>0</v>
      </c>
      <c r="AD291" s="122" t="n">
        <f aca="false">Tabela54[[#This Row],[Kolumna3]]/4.44</f>
        <v>0</v>
      </c>
      <c r="AE291" s="120" t="n">
        <f aca="false">Tabela54[[#This Row],[Kolumna23]]*Tabela54[[#This Row],[Kolumna63]]</f>
        <v>0</v>
      </c>
      <c r="AF291" s="120"/>
      <c r="AG291" s="122" t="n">
        <f aca="false">Tabela54[[#This Row],[Kolumna12]]*12</f>
        <v>0</v>
      </c>
      <c r="AH291" s="122" t="n">
        <f aca="false">Tabela54[[#This Row],[Kolumna222]]/1.59</f>
        <v>0</v>
      </c>
      <c r="AI291" s="119" t="n">
        <f aca="false">Tabela54[[#This Row],[Kolumna223]]*Tabela54[[#This Row],[Kolumna63]]</f>
        <v>0</v>
      </c>
      <c r="AJ291" s="119"/>
      <c r="AK291" s="122" t="n">
        <f aca="false">Tabela54[[#This Row],[Kolumna34]]*12</f>
        <v>0</v>
      </c>
      <c r="AL291" s="122" t="n">
        <f aca="false">Tabela54[[#This Row],[Kolumna32]]/4.2</f>
        <v>0</v>
      </c>
      <c r="AM291" s="119" t="n">
        <f aca="false">Tabela54[[#This Row],[Kolumna322]]*Tabela54[[#This Row],[Kolumna63]]</f>
        <v>0</v>
      </c>
      <c r="AN291" s="122"/>
      <c r="AO291" s="122" t="n">
        <f aca="false">Tabela54[[#This Row],[Kolumna5]]*Tabela54[[#This Row],[Kolumna63]]</f>
        <v>0</v>
      </c>
      <c r="AP291" s="53"/>
      <c r="AQ291" s="29"/>
      <c r="AR291" s="29"/>
      <c r="AS291" s="29"/>
      <c r="AT291" s="29"/>
    </row>
    <row r="292" customFormat="false" ht="30.75" hidden="false" customHeight="true" outlineLevel="0" collapsed="false">
      <c r="A292" s="25" t="n">
        <v>285</v>
      </c>
      <c r="B292" s="27" t="s">
        <v>241</v>
      </c>
      <c r="C292" s="49" t="s">
        <v>256</v>
      </c>
      <c r="D292" s="134"/>
      <c r="E292" s="135" t="n">
        <v>160</v>
      </c>
      <c r="F29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203.3140725</v>
      </c>
      <c r="G292" s="135"/>
      <c r="H292" s="130" t="n">
        <v>4</v>
      </c>
      <c r="I292" s="26" t="n">
        <f aca="false">Tabela43[[#This Row],[Kolumna5]]*20700*0.27778</f>
        <v>23000.184</v>
      </c>
      <c r="J292" s="130"/>
      <c r="K292" s="130"/>
      <c r="L292" s="28" t="n">
        <f aca="false">Tabela43[[#This Row],[Kolumna8]]*0.000843882*40190*0.27778</f>
        <v>0</v>
      </c>
      <c r="M292" s="130"/>
      <c r="N292" s="146" t="n">
        <f aca="false">Tabela43[[#This Row],[Kolumna84]]/2.55</f>
        <v>0</v>
      </c>
      <c r="O292" s="28" t="n">
        <f aca="false">Tabela43[[#This Row],[Kolumna82]]*35.94*0.27778</f>
        <v>0</v>
      </c>
      <c r="P292" s="130" t="n">
        <v>6</v>
      </c>
      <c r="Q292" s="130"/>
      <c r="R292" s="130" t="n">
        <v>3</v>
      </c>
      <c r="S292" s="116" t="n">
        <f aca="false">Tabela43[[#This Row],[Kolumna92]]*0.65</f>
        <v>1.95</v>
      </c>
      <c r="T292" s="28" t="n">
        <f aca="false">Tabela43[[#This Row],[Kolumna10]]*15600*0.27778</f>
        <v>8450.0676</v>
      </c>
      <c r="U292" s="130"/>
      <c r="V292" s="130"/>
      <c r="W292" s="130"/>
      <c r="X292" s="130" t="n">
        <v>90</v>
      </c>
      <c r="Y292" s="130" t="n">
        <f aca="false">Tabela43[[#This Row],[Kolumna1223]]*12</f>
        <v>1080</v>
      </c>
      <c r="Z292" s="28" t="n">
        <f aca="false">Tabela43[[#This Row],[Kolumna123]]/0.55</f>
        <v>1963.63636363636</v>
      </c>
      <c r="AA292" s="125"/>
      <c r="AB292" s="125" t="n">
        <v>200</v>
      </c>
      <c r="AC292" s="125" t="n">
        <f aca="false">Tabela54[[#This Row],[Kolumna22]]*12</f>
        <v>2400</v>
      </c>
      <c r="AD292" s="122" t="n">
        <f aca="false">Tabela54[[#This Row],[Kolumna3]]/4.44</f>
        <v>540.540540540541</v>
      </c>
      <c r="AE292" s="120" t="n">
        <f aca="false">Tabela54[[#This Row],[Kolumna23]]*Tabela54[[#This Row],[Kolumna63]]</f>
        <v>135.135135135135</v>
      </c>
      <c r="AF292" s="120"/>
      <c r="AG292" s="122" t="n">
        <f aca="false">Tabela54[[#This Row],[Kolumna12]]*12</f>
        <v>0</v>
      </c>
      <c r="AH292" s="122" t="n">
        <f aca="false">Tabela54[[#This Row],[Kolumna222]]/1.59</f>
        <v>0</v>
      </c>
      <c r="AI292" s="119" t="n">
        <f aca="false">Tabela54[[#This Row],[Kolumna223]]*Tabela54[[#This Row],[Kolumna63]]</f>
        <v>0</v>
      </c>
      <c r="AJ292" s="119" t="n">
        <v>300</v>
      </c>
      <c r="AK292" s="122" t="n">
        <f aca="false">Tabela54[[#This Row],[Kolumna34]]*12</f>
        <v>3600</v>
      </c>
      <c r="AL292" s="122" t="n">
        <f aca="false">Tabela54[[#This Row],[Kolumna32]]/4.2</f>
        <v>857.142857142857</v>
      </c>
      <c r="AM292" s="119" t="n">
        <f aca="false">Tabela54[[#This Row],[Kolumna322]]*Tabela54[[#This Row],[Kolumna63]]</f>
        <v>214.285714285714</v>
      </c>
      <c r="AN292" s="122"/>
      <c r="AO292" s="122" t="n">
        <f aca="false">Tabela54[[#This Row],[Kolumna5]]*Tabela54[[#This Row],[Kolumna63]]</f>
        <v>0</v>
      </c>
      <c r="AP292" s="53" t="n">
        <v>0.25</v>
      </c>
      <c r="AQ292" s="29"/>
      <c r="AR292" s="29"/>
      <c r="AS292" s="29"/>
      <c r="AT292" s="29"/>
    </row>
    <row r="293" customFormat="false" ht="30.75" hidden="false" customHeight="true" outlineLevel="0" collapsed="false">
      <c r="A293" s="25" t="n">
        <v>286</v>
      </c>
      <c r="B293" s="27" t="s">
        <v>241</v>
      </c>
      <c r="C293" s="49" t="s">
        <v>256</v>
      </c>
      <c r="D293" s="134"/>
      <c r="E293" s="135" t="n">
        <v>120</v>
      </c>
      <c r="F29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306.947597</v>
      </c>
      <c r="G293" s="135"/>
      <c r="H293" s="130" t="n">
        <v>2.5</v>
      </c>
      <c r="I293" s="26" t="n">
        <f aca="false">Tabela43[[#This Row],[Kolumna5]]*20700*0.27778</f>
        <v>14375.115</v>
      </c>
      <c r="J293" s="130"/>
      <c r="K293" s="130"/>
      <c r="L293" s="28" t="n">
        <f aca="false">Tabela43[[#This Row],[Kolumna8]]*0.000843882*40190*0.27778</f>
        <v>0</v>
      </c>
      <c r="M293" s="130" t="n">
        <f aca="false">80*12</f>
        <v>960</v>
      </c>
      <c r="N293" s="146" t="n">
        <f aca="false">Tabela43[[#This Row],[Kolumna84]]/2.55</f>
        <v>376.470588235294</v>
      </c>
      <c r="O293" s="28" t="n">
        <f aca="false">Tabela43[[#This Row],[Kolumna82]]*35.94*0.27778</f>
        <v>3758.46144</v>
      </c>
      <c r="P293" s="130"/>
      <c r="Q293" s="130"/>
      <c r="R293" s="130" t="n">
        <v>6</v>
      </c>
      <c r="S293" s="116" t="n">
        <f aca="false">Tabela43[[#This Row],[Kolumna92]]*0.65</f>
        <v>3.9</v>
      </c>
      <c r="T293" s="28" t="n">
        <f aca="false">Tabela43[[#This Row],[Kolumna10]]*15600*0.27778</f>
        <v>16900.1352</v>
      </c>
      <c r="U293" s="130"/>
      <c r="V293" s="130"/>
      <c r="W293" s="130"/>
      <c r="X293" s="130" t="n">
        <v>150</v>
      </c>
      <c r="Y293" s="130" t="n">
        <f aca="false">Tabela43[[#This Row],[Kolumna1223]]*12</f>
        <v>1800</v>
      </c>
      <c r="Z293" s="28" t="n">
        <f aca="false">Tabela43[[#This Row],[Kolumna123]]/0.55</f>
        <v>3272.72727272727</v>
      </c>
      <c r="AA293" s="125"/>
      <c r="AB293" s="125"/>
      <c r="AC293" s="125" t="n">
        <f aca="false">Tabela54[[#This Row],[Kolumna22]]*12</f>
        <v>0</v>
      </c>
      <c r="AD293" s="122" t="n">
        <f aca="false">Tabela54[[#This Row],[Kolumna3]]/4.44</f>
        <v>0</v>
      </c>
      <c r="AE293" s="120" t="n">
        <f aca="false">Tabela54[[#This Row],[Kolumna23]]*Tabela54[[#This Row],[Kolumna63]]</f>
        <v>0</v>
      </c>
      <c r="AF293" s="120"/>
      <c r="AG293" s="122" t="n">
        <f aca="false">Tabela54[[#This Row],[Kolumna12]]*12</f>
        <v>0</v>
      </c>
      <c r="AH293" s="122" t="n">
        <f aca="false">Tabela54[[#This Row],[Kolumna222]]/1.59</f>
        <v>0</v>
      </c>
      <c r="AI293" s="119" t="n">
        <f aca="false">Tabela54[[#This Row],[Kolumna223]]*Tabela54[[#This Row],[Kolumna63]]</f>
        <v>0</v>
      </c>
      <c r="AJ293" s="119" t="n">
        <v>250</v>
      </c>
      <c r="AK293" s="122" t="n">
        <f aca="false">Tabela54[[#This Row],[Kolumna34]]*12</f>
        <v>3000</v>
      </c>
      <c r="AL293" s="122" t="n">
        <f aca="false">Tabela54[[#This Row],[Kolumna32]]/4.2</f>
        <v>714.285714285714</v>
      </c>
      <c r="AM293" s="119" t="n">
        <f aca="false">Tabela54[[#This Row],[Kolumna322]]*Tabela54[[#This Row],[Kolumna63]]</f>
        <v>285.714285714286</v>
      </c>
      <c r="AN293" s="122"/>
      <c r="AO293" s="122" t="n">
        <f aca="false">Tabela54[[#This Row],[Kolumna5]]*Tabela54[[#This Row],[Kolumna63]]</f>
        <v>0</v>
      </c>
      <c r="AP293" s="53" t="n">
        <v>0.4</v>
      </c>
      <c r="AQ293" s="29"/>
      <c r="AR293" s="29"/>
      <c r="AS293" s="29"/>
      <c r="AT293" s="29"/>
    </row>
    <row r="294" customFormat="false" ht="30.75" hidden="false" customHeight="true" outlineLevel="0" collapsed="false">
      <c r="A294" s="40" t="n">
        <v>287</v>
      </c>
      <c r="B294" s="27" t="s">
        <v>241</v>
      </c>
      <c r="C294" s="49" t="s">
        <v>256</v>
      </c>
      <c r="D294" s="134"/>
      <c r="E294" s="135" t="n">
        <v>90</v>
      </c>
      <c r="F29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229.742493333333</v>
      </c>
      <c r="G294" s="135"/>
      <c r="H294" s="130"/>
      <c r="I294" s="26" t="n">
        <f aca="false">Tabela43[[#This Row],[Kolumna5]]*20700*0.27778</f>
        <v>0</v>
      </c>
      <c r="J294" s="130"/>
      <c r="K294" s="130"/>
      <c r="L294" s="28" t="n">
        <f aca="false">Tabela43[[#This Row],[Kolumna8]]*0.000843882*40190*0.27778</f>
        <v>0</v>
      </c>
      <c r="M294" s="130"/>
      <c r="N294" s="146" t="n">
        <f aca="false">Tabela43[[#This Row],[Kolumna84]]/2.55</f>
        <v>0</v>
      </c>
      <c r="O294" s="28" t="n">
        <f aca="false">Tabela43[[#This Row],[Kolumna82]]*35.94*0.27778</f>
        <v>0</v>
      </c>
      <c r="P294" s="130" t="n">
        <v>6</v>
      </c>
      <c r="Q294" s="130"/>
      <c r="R294" s="130" t="n">
        <v>7</v>
      </c>
      <c r="S294" s="116" t="n">
        <f aca="false">Tabela43[[#This Row],[Kolumna92]]*0.65</f>
        <v>4.55</v>
      </c>
      <c r="T294" s="28" t="n">
        <f aca="false">Tabela43[[#This Row],[Kolumna10]]*15600*0.27778</f>
        <v>19716.8244</v>
      </c>
      <c r="U294" s="130"/>
      <c r="V294" s="130"/>
      <c r="W294" s="130"/>
      <c r="X294" s="130" t="n">
        <v>80</v>
      </c>
      <c r="Y294" s="130" t="n">
        <f aca="false">Tabela43[[#This Row],[Kolumna1223]]*12</f>
        <v>960</v>
      </c>
      <c r="Z294" s="28" t="n">
        <f aca="false">Tabela43[[#This Row],[Kolumna123]]/0.55</f>
        <v>1745.45454545455</v>
      </c>
      <c r="AA294" s="125"/>
      <c r="AB294" s="125" t="n">
        <v>50</v>
      </c>
      <c r="AC294" s="125" t="n">
        <f aca="false">Tabela54[[#This Row],[Kolumna22]]*12</f>
        <v>600</v>
      </c>
      <c r="AD294" s="122" t="n">
        <f aca="false">Tabela54[[#This Row],[Kolumna3]]/4.44</f>
        <v>135.135135135135</v>
      </c>
      <c r="AE294" s="120" t="n">
        <f aca="false">Tabela54[[#This Row],[Kolumna23]]*Tabela54[[#This Row],[Kolumna63]]</f>
        <v>114.864864864865</v>
      </c>
      <c r="AF294" s="120" t="n">
        <v>100</v>
      </c>
      <c r="AG294" s="122" t="n">
        <f aca="false">Tabela54[[#This Row],[Kolumna12]]*12</f>
        <v>1200</v>
      </c>
      <c r="AH294" s="122" t="n">
        <f aca="false">Tabela54[[#This Row],[Kolumna222]]/1.59</f>
        <v>754.716981132076</v>
      </c>
      <c r="AI294" s="119" t="n">
        <f aca="false">Tabela54[[#This Row],[Kolumna223]]*Tabela54[[#This Row],[Kolumna63]]</f>
        <v>641.509433962264</v>
      </c>
      <c r="AJ294" s="119"/>
      <c r="AK294" s="122" t="n">
        <f aca="false">Tabela54[[#This Row],[Kolumna34]]*12</f>
        <v>0</v>
      </c>
      <c r="AL294" s="122" t="n">
        <f aca="false">Tabela54[[#This Row],[Kolumna32]]/4.2</f>
        <v>0</v>
      </c>
      <c r="AM294" s="119" t="n">
        <f aca="false">Tabela54[[#This Row],[Kolumna322]]*Tabela54[[#This Row],[Kolumna63]]</f>
        <v>0</v>
      </c>
      <c r="AN294" s="122"/>
      <c r="AO294" s="122" t="n">
        <f aca="false">Tabela54[[#This Row],[Kolumna5]]*Tabela54[[#This Row],[Kolumna63]]</f>
        <v>0</v>
      </c>
      <c r="AP294" s="53" t="n">
        <v>0.85</v>
      </c>
      <c r="AQ294" s="29"/>
      <c r="AR294" s="29"/>
      <c r="AS294" s="29"/>
      <c r="AT294" s="29"/>
    </row>
    <row r="295" customFormat="false" ht="32.25" hidden="false" customHeight="true" outlineLevel="0" collapsed="false">
      <c r="A295" s="25" t="n">
        <v>288</v>
      </c>
      <c r="B295" s="27" t="s">
        <v>241</v>
      </c>
      <c r="C295" s="49" t="s">
        <v>256</v>
      </c>
      <c r="D295" s="134"/>
      <c r="E295" s="135" t="n">
        <v>138</v>
      </c>
      <c r="F29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190.858179130435</v>
      </c>
      <c r="G295" s="135"/>
      <c r="H295" s="130" t="n">
        <v>2</v>
      </c>
      <c r="I295" s="26" t="n">
        <f aca="false">Tabela43[[#This Row],[Kolumna5]]*20700*0.27778</f>
        <v>11500.092</v>
      </c>
      <c r="J295" s="130"/>
      <c r="K295" s="130"/>
      <c r="L295" s="28" t="n">
        <f aca="false">Tabela43[[#This Row],[Kolumna8]]*0.000843882*40190*0.27778</f>
        <v>0</v>
      </c>
      <c r="M295" s="130" t="n">
        <f aca="false">90*12</f>
        <v>1080</v>
      </c>
      <c r="N295" s="146" t="n">
        <f aca="false">Tabela43[[#This Row],[Kolumna84]]/2.55</f>
        <v>423.529411764706</v>
      </c>
      <c r="O295" s="28" t="n">
        <f aca="false">Tabela43[[#This Row],[Kolumna82]]*35.94*0.27778</f>
        <v>4228.26912</v>
      </c>
      <c r="P295" s="130"/>
      <c r="Q295" s="130"/>
      <c r="R295" s="130" t="n">
        <v>3</v>
      </c>
      <c r="S295" s="116" t="n">
        <f aca="false">Tabela43[[#This Row],[Kolumna92]]*0.65</f>
        <v>1.95</v>
      </c>
      <c r="T295" s="28" t="n">
        <f aca="false">Tabela43[[#This Row],[Kolumna10]]*15600*0.27778</f>
        <v>8450.0676</v>
      </c>
      <c r="U295" s="130"/>
      <c r="V295" s="130"/>
      <c r="W295" s="130"/>
      <c r="X295" s="130" t="n">
        <v>180</v>
      </c>
      <c r="Y295" s="130" t="n">
        <f aca="false">Tabela43[[#This Row],[Kolumna1223]]*12</f>
        <v>2160</v>
      </c>
      <c r="Z295" s="28" t="n">
        <f aca="false">Tabela43[[#This Row],[Kolumna123]]/0.55</f>
        <v>3927.27272727273</v>
      </c>
      <c r="AA295" s="125"/>
      <c r="AB295" s="125" t="n">
        <v>400</v>
      </c>
      <c r="AC295" s="125" t="n">
        <f aca="false">Tabela54[[#This Row],[Kolumna22]]*12</f>
        <v>4800</v>
      </c>
      <c r="AD295" s="122" t="n">
        <f aca="false">Tabela54[[#This Row],[Kolumna3]]/4.44</f>
        <v>1081.08108108108</v>
      </c>
      <c r="AE295" s="120" t="n">
        <f aca="false">Tabela54[[#This Row],[Kolumna23]]*Tabela54[[#This Row],[Kolumna63]]</f>
        <v>540.540540540541</v>
      </c>
      <c r="AF295" s="120"/>
      <c r="AG295" s="122" t="n">
        <f aca="false">Tabela54[[#This Row],[Kolumna12]]*12</f>
        <v>0</v>
      </c>
      <c r="AH295" s="122" t="n">
        <f aca="false">Tabela54[[#This Row],[Kolumna222]]/1.59</f>
        <v>0</v>
      </c>
      <c r="AI295" s="119" t="n">
        <f aca="false">Tabela54[[#This Row],[Kolumna223]]*Tabela54[[#This Row],[Kolumna63]]</f>
        <v>0</v>
      </c>
      <c r="AJ295" s="119"/>
      <c r="AK295" s="122" t="n">
        <f aca="false">Tabela54[[#This Row],[Kolumna34]]*12</f>
        <v>0</v>
      </c>
      <c r="AL295" s="122" t="n">
        <f aca="false">Tabela54[[#This Row],[Kolumna32]]/4.2</f>
        <v>0</v>
      </c>
      <c r="AM295" s="119" t="n">
        <f aca="false">Tabela54[[#This Row],[Kolumna322]]*Tabela54[[#This Row],[Kolumna63]]</f>
        <v>0</v>
      </c>
      <c r="AN295" s="122"/>
      <c r="AO295" s="122" t="n">
        <f aca="false">Tabela54[[#This Row],[Kolumna5]]*Tabela54[[#This Row],[Kolumna63]]</f>
        <v>0</v>
      </c>
      <c r="AP295" s="53" t="n">
        <v>0.5</v>
      </c>
      <c r="AQ295" s="29"/>
      <c r="AR295" s="29"/>
      <c r="AS295" s="29"/>
      <c r="AT295" s="29"/>
    </row>
    <row r="296" customFormat="false" ht="30.75" hidden="false" customHeight="true" outlineLevel="0" collapsed="false">
      <c r="A296" s="25" t="n">
        <v>289</v>
      </c>
      <c r="B296" s="27" t="s">
        <v>241</v>
      </c>
      <c r="C296" s="49" t="s">
        <v>256</v>
      </c>
      <c r="D296" s="134"/>
      <c r="E296" s="135" t="n">
        <v>145</v>
      </c>
      <c r="F29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213.645248275862</v>
      </c>
      <c r="G296" s="135"/>
      <c r="H296" s="130" t="n">
        <v>2.5</v>
      </c>
      <c r="I296" s="26" t="n">
        <f aca="false">Tabela43[[#This Row],[Kolumna5]]*20700*0.27778</f>
        <v>14375.115</v>
      </c>
      <c r="J296" s="130"/>
      <c r="K296" s="130"/>
      <c r="L296" s="28" t="n">
        <f aca="false">Tabela43[[#This Row],[Kolumna8]]*0.000843882*40190*0.27778</f>
        <v>0</v>
      </c>
      <c r="M296" s="130"/>
      <c r="N296" s="146" t="n">
        <f aca="false">Tabela43[[#This Row],[Kolumna84]]/2.55</f>
        <v>0</v>
      </c>
      <c r="O296" s="28" t="n">
        <f aca="false">Tabela43[[#This Row],[Kolumna82]]*35.94*0.27778</f>
        <v>0</v>
      </c>
      <c r="P296" s="130" t="n">
        <v>6</v>
      </c>
      <c r="Q296" s="130"/>
      <c r="R296" s="130" t="n">
        <v>5</v>
      </c>
      <c r="S296" s="116" t="n">
        <f aca="false">Tabela43[[#This Row],[Kolumna92]]*0.65</f>
        <v>3.25</v>
      </c>
      <c r="T296" s="28" t="n">
        <f aca="false">Tabela43[[#This Row],[Kolumna10]]*15600*0.27778</f>
        <v>14083.446</v>
      </c>
      <c r="U296" s="130"/>
      <c r="V296" s="130"/>
      <c r="W296" s="130"/>
      <c r="X296" s="130" t="n">
        <v>210</v>
      </c>
      <c r="Y296" s="130" t="n">
        <f aca="false">Tabela43[[#This Row],[Kolumna1223]]*12</f>
        <v>2520</v>
      </c>
      <c r="Z296" s="28" t="n">
        <f aca="false">Tabela43[[#This Row],[Kolumna123]]/0.55</f>
        <v>4581.81818181818</v>
      </c>
      <c r="AA296" s="125"/>
      <c r="AB296" s="125"/>
      <c r="AC296" s="125" t="n">
        <f aca="false">Tabela54[[#This Row],[Kolumna22]]*12</f>
        <v>0</v>
      </c>
      <c r="AD296" s="122" t="n">
        <f aca="false">Tabela54[[#This Row],[Kolumna3]]/4.44</f>
        <v>0</v>
      </c>
      <c r="AE296" s="120" t="n">
        <f aca="false">Tabela54[[#This Row],[Kolumna23]]*Tabela54[[#This Row],[Kolumna63]]</f>
        <v>0</v>
      </c>
      <c r="AF296" s="120"/>
      <c r="AG296" s="122" t="n">
        <f aca="false">Tabela54[[#This Row],[Kolumna12]]*12</f>
        <v>0</v>
      </c>
      <c r="AH296" s="122" t="n">
        <f aca="false">Tabela54[[#This Row],[Kolumna222]]/1.59</f>
        <v>0</v>
      </c>
      <c r="AI296" s="119" t="n">
        <f aca="false">Tabela54[[#This Row],[Kolumna223]]*Tabela54[[#This Row],[Kolumna63]]</f>
        <v>0</v>
      </c>
      <c r="AJ296" s="119" t="n">
        <v>400</v>
      </c>
      <c r="AK296" s="122" t="n">
        <f aca="false">Tabela54[[#This Row],[Kolumna34]]*12</f>
        <v>4800</v>
      </c>
      <c r="AL296" s="122" t="n">
        <f aca="false">Tabela54[[#This Row],[Kolumna32]]/4.2</f>
        <v>1142.85714285714</v>
      </c>
      <c r="AM296" s="119" t="n">
        <f aca="false">Tabela54[[#This Row],[Kolumna322]]*Tabela54[[#This Row],[Kolumna63]]</f>
        <v>171.428571428571</v>
      </c>
      <c r="AN296" s="122"/>
      <c r="AO296" s="122" t="n">
        <f aca="false">Tabela54[[#This Row],[Kolumna5]]*Tabela54[[#This Row],[Kolumna63]]</f>
        <v>0</v>
      </c>
      <c r="AP296" s="53" t="n">
        <v>0.15</v>
      </c>
      <c r="AQ296" s="29"/>
      <c r="AR296" s="29"/>
      <c r="AS296" s="29"/>
      <c r="AT296" s="29"/>
    </row>
    <row r="297" customFormat="false" ht="33" hidden="false" customHeight="true" outlineLevel="0" collapsed="false">
      <c r="A297" s="40" t="n">
        <v>290</v>
      </c>
      <c r="B297" s="27" t="s">
        <v>241</v>
      </c>
      <c r="C297" s="49" t="s">
        <v>256</v>
      </c>
      <c r="D297" s="134"/>
      <c r="E297" s="135" t="n">
        <v>117</v>
      </c>
      <c r="F297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313.820889230769</v>
      </c>
      <c r="G297" s="135"/>
      <c r="H297" s="130" t="n">
        <v>1.5</v>
      </c>
      <c r="I297" s="26" t="n">
        <f aca="false">Tabela43[[#This Row],[Kolumna5]]*20700*0.27778</f>
        <v>8625.069</v>
      </c>
      <c r="J297" s="130"/>
      <c r="K297" s="130"/>
      <c r="L297" s="28" t="n">
        <f aca="false">Tabela43[[#This Row],[Kolumna8]]*0.000843882*40190*0.27778</f>
        <v>0</v>
      </c>
      <c r="M297" s="130" t="n">
        <f aca="false">80*12</f>
        <v>960</v>
      </c>
      <c r="N297" s="146" t="n">
        <f aca="false">Tabela43[[#This Row],[Kolumna84]]/2.55</f>
        <v>376.470588235294</v>
      </c>
      <c r="O297" s="28" t="n">
        <f aca="false">Tabela43[[#This Row],[Kolumna82]]*35.94*0.27778</f>
        <v>3758.46144</v>
      </c>
      <c r="P297" s="130"/>
      <c r="Q297" s="130"/>
      <c r="R297" s="130" t="n">
        <v>8</v>
      </c>
      <c r="S297" s="116" t="n">
        <f aca="false">Tabela43[[#This Row],[Kolumna92]]*0.65</f>
        <v>5.2</v>
      </c>
      <c r="T297" s="28" t="n">
        <f aca="false">Tabela43[[#This Row],[Kolumna10]]*15600*0.27778</f>
        <v>22533.5136</v>
      </c>
      <c r="U297" s="130"/>
      <c r="V297" s="130"/>
      <c r="W297" s="130"/>
      <c r="X297" s="130" t="n">
        <v>150</v>
      </c>
      <c r="Y297" s="130" t="n">
        <f aca="false">Tabela43[[#This Row],[Kolumna1223]]*12</f>
        <v>1800</v>
      </c>
      <c r="Z297" s="28" t="n">
        <f aca="false">Tabela43[[#This Row],[Kolumna123]]/0.55</f>
        <v>3272.72727272727</v>
      </c>
      <c r="AA297" s="125"/>
      <c r="AB297" s="125" t="n">
        <v>250</v>
      </c>
      <c r="AC297" s="125" t="n">
        <f aca="false">Tabela54[[#This Row],[Kolumna22]]*12</f>
        <v>3000</v>
      </c>
      <c r="AD297" s="122" t="n">
        <f aca="false">Tabela54[[#This Row],[Kolumna3]]/4.44</f>
        <v>675.675675675676</v>
      </c>
      <c r="AE297" s="120" t="n">
        <f aca="false">Tabela54[[#This Row],[Kolumna23]]*Tabela54[[#This Row],[Kolumna63]]</f>
        <v>135.135135135135</v>
      </c>
      <c r="AF297" s="120"/>
      <c r="AG297" s="122" t="n">
        <f aca="false">Tabela54[[#This Row],[Kolumna12]]*12</f>
        <v>0</v>
      </c>
      <c r="AH297" s="122" t="n">
        <f aca="false">Tabela54[[#This Row],[Kolumna222]]/1.59</f>
        <v>0</v>
      </c>
      <c r="AI297" s="119" t="n">
        <f aca="false">Tabela54[[#This Row],[Kolumna223]]*Tabela54[[#This Row],[Kolumna63]]</f>
        <v>0</v>
      </c>
      <c r="AJ297" s="119" t="n">
        <v>300</v>
      </c>
      <c r="AK297" s="122" t="n">
        <f aca="false">Tabela54[[#This Row],[Kolumna34]]*12</f>
        <v>3600</v>
      </c>
      <c r="AL297" s="122" t="n">
        <f aca="false">Tabela54[[#This Row],[Kolumna32]]/4.2</f>
        <v>857.142857142857</v>
      </c>
      <c r="AM297" s="119" t="n">
        <f aca="false">Tabela54[[#This Row],[Kolumna322]]*Tabela54[[#This Row],[Kolumna63]]</f>
        <v>171.428571428571</v>
      </c>
      <c r="AN297" s="122"/>
      <c r="AO297" s="122" t="n">
        <f aca="false">Tabela54[[#This Row],[Kolumna5]]*Tabela54[[#This Row],[Kolumna63]]</f>
        <v>0</v>
      </c>
      <c r="AP297" s="53" t="n">
        <v>0.2</v>
      </c>
      <c r="AQ297" s="29"/>
      <c r="AR297" s="29"/>
      <c r="AS297" s="29"/>
      <c r="AT297" s="29"/>
    </row>
    <row r="298" customFormat="false" ht="29.25" hidden="false" customHeight="true" outlineLevel="0" collapsed="false">
      <c r="A298" s="25" t="n">
        <v>291</v>
      </c>
      <c r="B298" s="27" t="s">
        <v>241</v>
      </c>
      <c r="C298" s="49" t="s">
        <v>256</v>
      </c>
      <c r="D298" s="134"/>
      <c r="E298" s="135" t="n">
        <v>100</v>
      </c>
      <c r="F298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170.83446</v>
      </c>
      <c r="G298" s="135"/>
      <c r="H298" s="130"/>
      <c r="I298" s="26" t="n">
        <f aca="false">Tabela43[[#This Row],[Kolumna5]]*20700*0.27778</f>
        <v>0</v>
      </c>
      <c r="J298" s="130"/>
      <c r="K298" s="130"/>
      <c r="L298" s="28" t="n">
        <f aca="false">Tabela43[[#This Row],[Kolumna8]]*0.000843882*40190*0.27778</f>
        <v>0</v>
      </c>
      <c r="M298" s="130"/>
      <c r="N298" s="146" t="n">
        <f aca="false">Tabela43[[#This Row],[Kolumna84]]/2.55</f>
        <v>0</v>
      </c>
      <c r="O298" s="28" t="n">
        <f aca="false">Tabela43[[#This Row],[Kolumna82]]*35.94*0.27778</f>
        <v>0</v>
      </c>
      <c r="P298" s="130"/>
      <c r="Q298" s="130"/>
      <c r="R298" s="130" t="n">
        <v>5</v>
      </c>
      <c r="S298" s="116" t="n">
        <f aca="false">Tabela43[[#This Row],[Kolumna92]]*0.65</f>
        <v>3.25</v>
      </c>
      <c r="T298" s="28" t="n">
        <f aca="false">Tabela43[[#This Row],[Kolumna10]]*15600*0.27778</f>
        <v>14083.446</v>
      </c>
      <c r="U298" s="130"/>
      <c r="V298" s="130"/>
      <c r="W298" s="130"/>
      <c r="X298" s="130" t="n">
        <v>250</v>
      </c>
      <c r="Y298" s="130" t="n">
        <f aca="false">Tabela43[[#This Row],[Kolumna1223]]*12</f>
        <v>3000</v>
      </c>
      <c r="Z298" s="28" t="n">
        <f aca="false">Tabela43[[#This Row],[Kolumna123]]/0.55</f>
        <v>5454.54545454545</v>
      </c>
      <c r="AA298" s="125"/>
      <c r="AB298" s="125" t="n">
        <v>300</v>
      </c>
      <c r="AC298" s="125" t="n">
        <f aca="false">Tabela54[[#This Row],[Kolumna22]]*12</f>
        <v>3600</v>
      </c>
      <c r="AD298" s="122" t="n">
        <f aca="false">Tabela54[[#This Row],[Kolumna3]]/4.44</f>
        <v>810.810810810811</v>
      </c>
      <c r="AE298" s="120" t="n">
        <f aca="false">Tabela54[[#This Row],[Kolumna23]]*Tabela54[[#This Row],[Kolumna63]]</f>
        <v>243.243243243243</v>
      </c>
      <c r="AF298" s="120" t="n">
        <v>150</v>
      </c>
      <c r="AG298" s="122" t="n">
        <f aca="false">Tabela54[[#This Row],[Kolumna12]]*12</f>
        <v>1800</v>
      </c>
      <c r="AH298" s="122" t="n">
        <f aca="false">Tabela54[[#This Row],[Kolumna222]]/1.59</f>
        <v>1132.07547169811</v>
      </c>
      <c r="AI298" s="119" t="n">
        <f aca="false">Tabela54[[#This Row],[Kolumna223]]*Tabela54[[#This Row],[Kolumna63]]</f>
        <v>339.622641509434</v>
      </c>
      <c r="AJ298" s="119" t="n">
        <v>250</v>
      </c>
      <c r="AK298" s="122" t="n">
        <f aca="false">Tabela54[[#This Row],[Kolumna34]]*12</f>
        <v>3000</v>
      </c>
      <c r="AL298" s="122" t="n">
        <f aca="false">Tabela54[[#This Row],[Kolumna32]]/4.2</f>
        <v>714.285714285714</v>
      </c>
      <c r="AM298" s="119" t="n">
        <f aca="false">Tabela54[[#This Row],[Kolumna322]]*Tabela54[[#This Row],[Kolumna63]]</f>
        <v>214.285714285714</v>
      </c>
      <c r="AN298" s="122"/>
      <c r="AO298" s="122" t="n">
        <f aca="false">Tabela54[[#This Row],[Kolumna5]]*Tabela54[[#This Row],[Kolumna63]]</f>
        <v>0</v>
      </c>
      <c r="AP298" s="53" t="n">
        <v>0.3</v>
      </c>
      <c r="AQ298" s="29"/>
      <c r="AR298" s="29"/>
      <c r="AS298" s="29"/>
      <c r="AT298" s="29"/>
    </row>
    <row r="299" customFormat="false" ht="30.75" hidden="false" customHeight="true" outlineLevel="0" collapsed="false">
      <c r="A299" s="25" t="n">
        <v>292</v>
      </c>
      <c r="B299" s="27" t="s">
        <v>241</v>
      </c>
      <c r="C299" s="49" t="s">
        <v>256</v>
      </c>
      <c r="D299" s="134"/>
      <c r="E299" s="135" t="n">
        <v>95</v>
      </c>
      <c r="F299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278.826701052632</v>
      </c>
      <c r="G299" s="135"/>
      <c r="H299" s="130" t="n">
        <v>0.5</v>
      </c>
      <c r="I299" s="26" t="n">
        <f aca="false">Tabela43[[#This Row],[Kolumna5]]*20700*0.27778</f>
        <v>2875.023</v>
      </c>
      <c r="J299" s="130"/>
      <c r="K299" s="130"/>
      <c r="L299" s="28" t="n">
        <f aca="false">Tabela43[[#This Row],[Kolumna8]]*0.000843882*40190*0.27778</f>
        <v>0</v>
      </c>
      <c r="M299" s="130"/>
      <c r="N299" s="146" t="n">
        <f aca="false">Tabela43[[#This Row],[Kolumna84]]/2.55</f>
        <v>0</v>
      </c>
      <c r="O299" s="28" t="n">
        <f aca="false">Tabela43[[#This Row],[Kolumna82]]*35.94*0.27778</f>
        <v>0</v>
      </c>
      <c r="P299" s="130" t="n">
        <v>6</v>
      </c>
      <c r="Q299" s="130"/>
      <c r="R299" s="130" t="n">
        <v>8</v>
      </c>
      <c r="S299" s="116" t="n">
        <f aca="false">Tabela43[[#This Row],[Kolumna92]]*0.65</f>
        <v>5.2</v>
      </c>
      <c r="T299" s="28" t="n">
        <f aca="false">Tabela43[[#This Row],[Kolumna10]]*15600*0.27778</f>
        <v>22533.5136</v>
      </c>
      <c r="U299" s="130"/>
      <c r="V299" s="130"/>
      <c r="W299" s="130"/>
      <c r="X299" s="130" t="n">
        <v>90</v>
      </c>
      <c r="Y299" s="130" t="n">
        <f aca="false">Tabela43[[#This Row],[Kolumna1223]]*12</f>
        <v>1080</v>
      </c>
      <c r="Z299" s="28" t="n">
        <f aca="false">Tabela43[[#This Row],[Kolumna123]]/0.55</f>
        <v>1963.63636363636</v>
      </c>
      <c r="AA299" s="125"/>
      <c r="AB299" s="125"/>
      <c r="AC299" s="125" t="n">
        <f aca="false">Tabela54[[#This Row],[Kolumna22]]*12</f>
        <v>0</v>
      </c>
      <c r="AD299" s="122" t="n">
        <f aca="false">Tabela54[[#This Row],[Kolumna3]]/4.44</f>
        <v>0</v>
      </c>
      <c r="AE299" s="120" t="n">
        <f aca="false">Tabela54[[#This Row],[Kolumna23]]*Tabela54[[#This Row],[Kolumna63]]</f>
        <v>0</v>
      </c>
      <c r="AF299" s="120" t="n">
        <v>80</v>
      </c>
      <c r="AG299" s="122" t="n">
        <f aca="false">Tabela54[[#This Row],[Kolumna12]]*12</f>
        <v>960</v>
      </c>
      <c r="AH299" s="122" t="n">
        <f aca="false">Tabela54[[#This Row],[Kolumna222]]/1.59</f>
        <v>603.77358490566</v>
      </c>
      <c r="AI299" s="119" t="n">
        <f aca="false">Tabela54[[#This Row],[Kolumna223]]*Tabela54[[#This Row],[Kolumna63]]</f>
        <v>543.396226415094</v>
      </c>
      <c r="AJ299" s="119"/>
      <c r="AK299" s="122" t="n">
        <f aca="false">Tabela54[[#This Row],[Kolumna34]]*12</f>
        <v>0</v>
      </c>
      <c r="AL299" s="122" t="n">
        <f aca="false">Tabela54[[#This Row],[Kolumna32]]/4.2</f>
        <v>0</v>
      </c>
      <c r="AM299" s="119" t="n">
        <f aca="false">Tabela54[[#This Row],[Kolumna322]]*Tabela54[[#This Row],[Kolumna63]]</f>
        <v>0</v>
      </c>
      <c r="AN299" s="122"/>
      <c r="AO299" s="122" t="n">
        <f aca="false">Tabela54[[#This Row],[Kolumna5]]*Tabela54[[#This Row],[Kolumna63]]</f>
        <v>0</v>
      </c>
      <c r="AP299" s="53" t="n">
        <v>0.9</v>
      </c>
      <c r="AQ299" s="29"/>
      <c r="AR299" s="29"/>
      <c r="AS299" s="29"/>
      <c r="AT299" s="29"/>
    </row>
    <row r="300" customFormat="false" ht="30" hidden="false" customHeight="true" outlineLevel="0" collapsed="false">
      <c r="A300" s="40" t="n">
        <v>293</v>
      </c>
      <c r="B300" s="27" t="s">
        <v>241</v>
      </c>
      <c r="C300" s="49" t="s">
        <v>256</v>
      </c>
      <c r="D300" s="134"/>
      <c r="E300" s="135" t="n">
        <v>115</v>
      </c>
      <c r="F300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258.115299130435</v>
      </c>
      <c r="G300" s="135"/>
      <c r="H300" s="130" t="n">
        <v>2.5</v>
      </c>
      <c r="I300" s="26" t="n">
        <f aca="false">Tabela43[[#This Row],[Kolumna5]]*20700*0.27778</f>
        <v>14375.115</v>
      </c>
      <c r="J300" s="130"/>
      <c r="K300" s="130"/>
      <c r="L300" s="28" t="n">
        <f aca="false">Tabela43[[#This Row],[Kolumna8]]*0.000843882*40190*0.27778</f>
        <v>0</v>
      </c>
      <c r="M300" s="130" t="n">
        <v>1200</v>
      </c>
      <c r="N300" s="146" t="n">
        <f aca="false">Tabela43[[#This Row],[Kolumna84]]/2.55</f>
        <v>470.588235294118</v>
      </c>
      <c r="O300" s="28" t="n">
        <f aca="false">Tabela43[[#This Row],[Kolumna82]]*35.94*0.27778</f>
        <v>4698.0768</v>
      </c>
      <c r="P300" s="130"/>
      <c r="Q300" s="130"/>
      <c r="R300" s="130" t="n">
        <v>3</v>
      </c>
      <c r="S300" s="116" t="n">
        <f aca="false">Tabela43[[#This Row],[Kolumna92]]*0.65</f>
        <v>1.95</v>
      </c>
      <c r="T300" s="28" t="n">
        <f aca="false">Tabela43[[#This Row],[Kolumna10]]*15600*0.27778</f>
        <v>8450.0676</v>
      </c>
      <c r="U300" s="130"/>
      <c r="V300" s="130"/>
      <c r="W300" s="130"/>
      <c r="X300" s="130" t="n">
        <v>180</v>
      </c>
      <c r="Y300" s="130" t="n">
        <f aca="false">Tabela43[[#This Row],[Kolumna1223]]*12</f>
        <v>2160</v>
      </c>
      <c r="Z300" s="28" t="n">
        <f aca="false">Tabela43[[#This Row],[Kolumna123]]/0.55</f>
        <v>3927.27272727273</v>
      </c>
      <c r="AA300" s="132"/>
      <c r="AB300" s="132"/>
      <c r="AC300" s="125" t="n">
        <f aca="false">Tabela54[[#This Row],[Kolumna22]]*12</f>
        <v>0</v>
      </c>
      <c r="AD300" s="122" t="n">
        <f aca="false">Tabela54[[#This Row],[Kolumna3]]/4.44</f>
        <v>0</v>
      </c>
      <c r="AE300" s="120" t="n">
        <f aca="false">Tabela54[[#This Row],[Kolumna23]]*Tabela54[[#This Row],[Kolumna63]]</f>
        <v>0</v>
      </c>
      <c r="AF300" s="120"/>
      <c r="AG300" s="122" t="n">
        <f aca="false">Tabela54[[#This Row],[Kolumna12]]*12</f>
        <v>0</v>
      </c>
      <c r="AH300" s="122" t="n">
        <f aca="false">Tabela54[[#This Row],[Kolumna222]]/1.59</f>
        <v>0</v>
      </c>
      <c r="AI300" s="119" t="n">
        <f aca="false">Tabela54[[#This Row],[Kolumna223]]*Tabela54[[#This Row],[Kolumna63]]</f>
        <v>0</v>
      </c>
      <c r="AJ300" s="119" t="n">
        <v>500</v>
      </c>
      <c r="AK300" s="122" t="n">
        <f aca="false">Tabela54[[#This Row],[Kolumna34]]*12</f>
        <v>6000</v>
      </c>
      <c r="AL300" s="122" t="n">
        <f aca="false">Tabela54[[#This Row],[Kolumna32]]/4.2</f>
        <v>1428.57142857143</v>
      </c>
      <c r="AM300" s="119" t="n">
        <f aca="false">Tabela54[[#This Row],[Kolumna322]]*Tabela54[[#This Row],[Kolumna63]]</f>
        <v>500</v>
      </c>
      <c r="AN300" s="122"/>
      <c r="AO300" s="122" t="n">
        <f aca="false">Tabela54[[#This Row],[Kolumna5]]*Tabela54[[#This Row],[Kolumna63]]</f>
        <v>0</v>
      </c>
      <c r="AP300" s="53" t="n">
        <v>0.35</v>
      </c>
      <c r="AQ300" s="29"/>
      <c r="AR300" s="29"/>
      <c r="AS300" s="29"/>
      <c r="AT300" s="29"/>
    </row>
    <row r="301" customFormat="false" ht="27" hidden="false" customHeight="true" outlineLevel="0" collapsed="false">
      <c r="A301" s="25" t="n">
        <v>294</v>
      </c>
      <c r="B301" s="27" t="s">
        <v>241</v>
      </c>
      <c r="C301" s="49" t="s">
        <v>256</v>
      </c>
      <c r="D301" s="134"/>
      <c r="E301" s="135" t="n">
        <v>190</v>
      </c>
      <c r="F301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190.496799157895</v>
      </c>
      <c r="G301" s="135"/>
      <c r="H301" s="130"/>
      <c r="I301" s="26" t="n">
        <f aca="false">Tabela43[[#This Row],[Kolumna5]]*20700*0.27778</f>
        <v>0</v>
      </c>
      <c r="J301" s="130"/>
      <c r="K301" s="130"/>
      <c r="L301" s="28" t="n">
        <f aca="false">Tabela43[[#This Row],[Kolumna8]]*0.000843882*40190*0.27778</f>
        <v>0</v>
      </c>
      <c r="M301" s="130" t="n">
        <f aca="false">130*12</f>
        <v>1560</v>
      </c>
      <c r="N301" s="146" t="n">
        <f aca="false">Tabela43[[#This Row],[Kolumna84]]/2.55</f>
        <v>611.764705882353</v>
      </c>
      <c r="O301" s="28" t="n">
        <f aca="false">Tabela43[[#This Row],[Kolumna82]]*35.94*0.27778</f>
        <v>6107.49984</v>
      </c>
      <c r="P301" s="130"/>
      <c r="Q301" s="130"/>
      <c r="R301" s="130" t="n">
        <v>10</v>
      </c>
      <c r="S301" s="116" t="n">
        <f aca="false">Tabela43[[#This Row],[Kolumna92]]*0.65</f>
        <v>6.5</v>
      </c>
      <c r="T301" s="28" t="n">
        <f aca="false">Tabela43[[#This Row],[Kolumna10]]*15600*0.27778</f>
        <v>28166.892</v>
      </c>
      <c r="U301" s="130"/>
      <c r="V301" s="130"/>
      <c r="W301" s="130"/>
      <c r="X301" s="130" t="n">
        <v>160</v>
      </c>
      <c r="Y301" s="130" t="n">
        <f aca="false">Tabela43[[#This Row],[Kolumna1223]]*12</f>
        <v>1920</v>
      </c>
      <c r="Z301" s="28" t="n">
        <f aca="false">Tabela43[[#This Row],[Kolumna123]]/0.55</f>
        <v>3490.90909090909</v>
      </c>
      <c r="AA301" s="125"/>
      <c r="AB301" s="125" t="n">
        <v>200</v>
      </c>
      <c r="AC301" s="125" t="n">
        <f aca="false">Tabela54[[#This Row],[Kolumna22]]*12</f>
        <v>2400</v>
      </c>
      <c r="AD301" s="122" t="n">
        <f aca="false">Tabela54[[#This Row],[Kolumna3]]/4.44</f>
        <v>540.540540540541</v>
      </c>
      <c r="AE301" s="120" t="n">
        <f aca="false">Tabela54[[#This Row],[Kolumna23]]*Tabela54[[#This Row],[Kolumna63]]</f>
        <v>81.0810810810811</v>
      </c>
      <c r="AF301" s="120"/>
      <c r="AG301" s="122" t="n">
        <f aca="false">Tabela54[[#This Row],[Kolumna12]]*12</f>
        <v>0</v>
      </c>
      <c r="AH301" s="122" t="n">
        <f aca="false">Tabela54[[#This Row],[Kolumna222]]/1.59</f>
        <v>0</v>
      </c>
      <c r="AI301" s="119" t="n">
        <f aca="false">Tabela54[[#This Row],[Kolumna223]]*Tabela54[[#This Row],[Kolumna63]]</f>
        <v>0</v>
      </c>
      <c r="AJ301" s="119" t="n">
        <v>300</v>
      </c>
      <c r="AK301" s="122" t="n">
        <f aca="false">Tabela54[[#This Row],[Kolumna34]]*12</f>
        <v>3600</v>
      </c>
      <c r="AL301" s="122" t="n">
        <f aca="false">Tabela54[[#This Row],[Kolumna32]]/4.2</f>
        <v>857.142857142857</v>
      </c>
      <c r="AM301" s="119" t="n">
        <f aca="false">Tabela54[[#This Row],[Kolumna322]]*Tabela54[[#This Row],[Kolumna63]]</f>
        <v>128.571428571429</v>
      </c>
      <c r="AN301" s="122"/>
      <c r="AO301" s="122" t="n">
        <f aca="false">Tabela54[[#This Row],[Kolumna5]]*Tabela54[[#This Row],[Kolumna63]]</f>
        <v>0</v>
      </c>
      <c r="AP301" s="53" t="n">
        <v>0.15</v>
      </c>
      <c r="AQ301" s="29"/>
      <c r="AR301" s="29"/>
      <c r="AS301" s="29"/>
      <c r="AT301" s="29"/>
    </row>
    <row r="302" customFormat="false" ht="30" hidden="false" customHeight="true" outlineLevel="0" collapsed="false">
      <c r="A302" s="25" t="n">
        <v>295</v>
      </c>
      <c r="B302" s="27" t="s">
        <v>241</v>
      </c>
      <c r="C302" s="49" t="s">
        <v>249</v>
      </c>
      <c r="D302" s="134"/>
      <c r="E302" s="135" t="n">
        <v>150</v>
      </c>
      <c r="F302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336.00256</v>
      </c>
      <c r="G302" s="135"/>
      <c r="H302" s="130" t="n">
        <v>1</v>
      </c>
      <c r="I302" s="26" t="n">
        <f aca="false">Tabela43[[#This Row],[Kolumna5]]*20700*0.27778</f>
        <v>5750.046</v>
      </c>
      <c r="J302" s="130"/>
      <c r="K302" s="130"/>
      <c r="L302" s="28" t="n">
        <f aca="false">Tabela43[[#This Row],[Kolumna8]]*0.000843882*40190*0.27778</f>
        <v>0</v>
      </c>
      <c r="M302" s="130"/>
      <c r="N302" s="146" t="n">
        <f aca="false">Tabela43[[#This Row],[Kolumna84]]/2.55</f>
        <v>0</v>
      </c>
      <c r="O302" s="28" t="n">
        <f aca="false">Tabela43[[#This Row],[Kolumna82]]*35.94*0.27778</f>
        <v>0</v>
      </c>
      <c r="P302" s="130"/>
      <c r="Q302" s="130"/>
      <c r="R302" s="130" t="n">
        <v>15</v>
      </c>
      <c r="S302" s="116" t="n">
        <f aca="false">Tabela43[[#This Row],[Kolumna92]]*0.65</f>
        <v>9.75</v>
      </c>
      <c r="T302" s="28" t="n">
        <f aca="false">Tabela43[[#This Row],[Kolumna10]]*15600*0.27778</f>
        <v>42250.338</v>
      </c>
      <c r="U302" s="130"/>
      <c r="V302" s="130"/>
      <c r="W302" s="130"/>
      <c r="X302" s="130"/>
      <c r="Y302" s="130" t="n">
        <v>2400</v>
      </c>
      <c r="Z302" s="28" t="n">
        <f aca="false">Tabela43[[#This Row],[Kolumna123]]/0.55</f>
        <v>4363.63636363636</v>
      </c>
      <c r="AA302" s="125" t="n">
        <v>2</v>
      </c>
      <c r="AB302" s="125"/>
      <c r="AC302" s="125" t="n">
        <f aca="false">Tabela54[[#This Row],[Kolumna22]]*12</f>
        <v>0</v>
      </c>
      <c r="AD302" s="122" t="n">
        <f aca="false">Tabela54[[#This Row],[Kolumna3]]/4.44</f>
        <v>0</v>
      </c>
      <c r="AE302" s="120" t="n">
        <f aca="false">Tabela54[[#This Row],[Kolumna23]]*Tabela54[[#This Row],[Kolumna63]]</f>
        <v>0</v>
      </c>
      <c r="AF302" s="120"/>
      <c r="AG302" s="122" t="n">
        <f aca="false">Tabela54[[#This Row],[Kolumna12]]*12</f>
        <v>0</v>
      </c>
      <c r="AH302" s="122" t="n">
        <f aca="false">Tabela54[[#This Row],[Kolumna222]]/1.59</f>
        <v>0</v>
      </c>
      <c r="AI302" s="119" t="n">
        <f aca="false">Tabela54[[#This Row],[Kolumna223]]*Tabela54[[#This Row],[Kolumna63]]</f>
        <v>0</v>
      </c>
      <c r="AJ302" s="119"/>
      <c r="AK302" s="122" t="n">
        <f aca="false">Tabela54[[#This Row],[Kolumna34]]*12</f>
        <v>0</v>
      </c>
      <c r="AL302" s="122" t="n">
        <v>1200</v>
      </c>
      <c r="AM302" s="119" t="n">
        <f aca="false">Tabela54[[#This Row],[Kolumna322]]*Tabela54[[#This Row],[Kolumna63]]</f>
        <v>480</v>
      </c>
      <c r="AN302" s="122"/>
      <c r="AO302" s="122" t="n">
        <f aca="false">Tabela54[[#This Row],[Kolumna5]]*Tabela54[[#This Row],[Kolumna63]]</f>
        <v>0</v>
      </c>
      <c r="AP302" s="53" t="n">
        <v>0.4</v>
      </c>
      <c r="AQ302" s="29" t="s">
        <v>243</v>
      </c>
      <c r="AR302" s="29" t="s">
        <v>243</v>
      </c>
      <c r="AS302" s="29" t="s">
        <v>243</v>
      </c>
      <c r="AT302" s="29"/>
    </row>
    <row r="303" customFormat="false" ht="30.75" hidden="false" customHeight="true" outlineLevel="0" collapsed="false">
      <c r="A303" s="40" t="n">
        <v>296</v>
      </c>
      <c r="B303" s="27" t="s">
        <v>241</v>
      </c>
      <c r="C303" s="49" t="s">
        <v>257</v>
      </c>
      <c r="D303" s="134"/>
      <c r="E303" s="135" t="n">
        <v>80</v>
      </c>
      <c r="F303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652.0677165</v>
      </c>
      <c r="G303" s="135"/>
      <c r="H303" s="130" t="n">
        <v>4</v>
      </c>
      <c r="I303" s="26" t="n">
        <f aca="false">Tabela43[[#This Row],[Kolumna5]]*20700*0.27778</f>
        <v>23000.184</v>
      </c>
      <c r="J303" s="130"/>
      <c r="K303" s="130"/>
      <c r="L303" s="28" t="n">
        <f aca="false">Tabela43[[#This Row],[Kolumna8]]*0.000843882*40190*0.27778</f>
        <v>0</v>
      </c>
      <c r="M303" s="130"/>
      <c r="N303" s="130" t="n">
        <v>100</v>
      </c>
      <c r="O303" s="28" t="n">
        <f aca="false">Tabela43[[#This Row],[Kolumna82]]*35.94*0.27778</f>
        <v>998.34132</v>
      </c>
      <c r="P303" s="130"/>
      <c r="Q303" s="130"/>
      <c r="R303" s="130" t="n">
        <v>10</v>
      </c>
      <c r="S303" s="116" t="n">
        <f aca="false">Tabela43[[#This Row],[Kolumna92]]*0.65</f>
        <v>6.5</v>
      </c>
      <c r="T303" s="28" t="n">
        <f aca="false">Tabela43[[#This Row],[Kolumna10]]*15600*0.27778</f>
        <v>28166.892</v>
      </c>
      <c r="U303" s="130"/>
      <c r="V303" s="130"/>
      <c r="W303" s="130"/>
      <c r="X303" s="130"/>
      <c r="Y303" s="130" t="n">
        <f aca="false">Tabela43[[#This Row],[Kolumna1223]]*12</f>
        <v>0</v>
      </c>
      <c r="Z303" s="28" t="n">
        <v>1000</v>
      </c>
      <c r="AA303" s="125" t="n">
        <v>1</v>
      </c>
      <c r="AB303" s="125"/>
      <c r="AC303" s="125" t="n">
        <f aca="false">Tabela54[[#This Row],[Kolumna22]]*12</f>
        <v>0</v>
      </c>
      <c r="AD303" s="122" t="n">
        <v>22</v>
      </c>
      <c r="AE303" s="120" t="n">
        <f aca="false">Tabela54[[#This Row],[Kolumna23]]*Tabela54[[#This Row],[Kolumna63]]</f>
        <v>22</v>
      </c>
      <c r="AF303" s="120"/>
      <c r="AG303" s="122" t="n">
        <f aca="false">Tabela54[[#This Row],[Kolumna12]]*12</f>
        <v>0</v>
      </c>
      <c r="AH303" s="122" t="n">
        <f aca="false">Tabela54[[#This Row],[Kolumna222]]/1.59</f>
        <v>0</v>
      </c>
      <c r="AI303" s="119" t="n">
        <f aca="false">Tabela54[[#This Row],[Kolumna223]]*Tabela54[[#This Row],[Kolumna63]]</f>
        <v>0</v>
      </c>
      <c r="AJ303" s="119"/>
      <c r="AK303" s="122" t="n">
        <f aca="false">Tabela54[[#This Row],[Kolumna34]]*12</f>
        <v>0</v>
      </c>
      <c r="AL303" s="122" t="n">
        <v>3000</v>
      </c>
      <c r="AM303" s="119" t="n">
        <f aca="false">Tabela54[[#This Row],[Kolumna322]]*Tabela54[[#This Row],[Kolumna63]]</f>
        <v>3000</v>
      </c>
      <c r="AN303" s="122"/>
      <c r="AO303" s="122" t="n">
        <f aca="false">Tabela54[[#This Row],[Kolumna5]]*Tabela54[[#This Row],[Kolumna63]]</f>
        <v>0</v>
      </c>
      <c r="AP303" s="53" t="n">
        <v>1</v>
      </c>
      <c r="AQ303" s="29" t="s">
        <v>243</v>
      </c>
      <c r="AR303" s="29" t="s">
        <v>243</v>
      </c>
      <c r="AS303" s="29" t="s">
        <v>243</v>
      </c>
      <c r="AT303" s="29"/>
    </row>
    <row r="304" customFormat="false" ht="30" hidden="false" customHeight="true" outlineLevel="0" collapsed="false">
      <c r="A304" s="25" t="n">
        <v>297</v>
      </c>
      <c r="B304" s="27" t="s">
        <v>241</v>
      </c>
      <c r="C304" s="49" t="s">
        <v>249</v>
      </c>
      <c r="D304" s="134"/>
      <c r="E304" s="135" t="n">
        <v>150</v>
      </c>
      <c r="F304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170.55692</v>
      </c>
      <c r="G304" s="135"/>
      <c r="H304" s="130" t="n">
        <v>2</v>
      </c>
      <c r="I304" s="26" t="n">
        <f aca="false">Tabela43[[#This Row],[Kolumna5]]*20700*0.27778</f>
        <v>11500.092</v>
      </c>
      <c r="J304" s="130"/>
      <c r="K304" s="130"/>
      <c r="L304" s="28" t="n">
        <f aca="false">Tabela43[[#This Row],[Kolumna8]]*0.000843882*40190*0.27778</f>
        <v>0</v>
      </c>
      <c r="M304" s="130"/>
      <c r="N304" s="130"/>
      <c r="O304" s="28" t="n">
        <f aca="false">Tabela43[[#This Row],[Kolumna82]]*35.94*0.27778</f>
        <v>0</v>
      </c>
      <c r="P304" s="130"/>
      <c r="Q304" s="130"/>
      <c r="R304" s="130" t="n">
        <v>5</v>
      </c>
      <c r="S304" s="116" t="n">
        <f aca="false">Tabela43[[#This Row],[Kolumna92]]*0.65</f>
        <v>3.25</v>
      </c>
      <c r="T304" s="28" t="n">
        <f aca="false">Tabela43[[#This Row],[Kolumna10]]*15600*0.27778</f>
        <v>14083.446</v>
      </c>
      <c r="U304" s="130"/>
      <c r="V304" s="130"/>
      <c r="W304" s="130"/>
      <c r="X304" s="130"/>
      <c r="Y304" s="130" t="n">
        <f aca="false">Tabela43[[#This Row],[Kolumna1223]]*12</f>
        <v>0</v>
      </c>
      <c r="Z304" s="28"/>
      <c r="AA304" s="125" t="n">
        <v>1</v>
      </c>
      <c r="AB304" s="125"/>
      <c r="AC304" s="125" t="n">
        <f aca="false">Tabela54[[#This Row],[Kolumna22]]*12</f>
        <v>0</v>
      </c>
      <c r="AD304" s="122"/>
      <c r="AE304" s="120" t="n">
        <f aca="false">Tabela54[[#This Row],[Kolumna23]]*Tabela54[[#This Row],[Kolumna63]]</f>
        <v>0</v>
      </c>
      <c r="AF304" s="120"/>
      <c r="AG304" s="122" t="n">
        <f aca="false">Tabela54[[#This Row],[Kolumna12]]*12</f>
        <v>0</v>
      </c>
      <c r="AH304" s="122" t="n">
        <f aca="false">Tabela54[[#This Row],[Kolumna222]]/1.59</f>
        <v>0</v>
      </c>
      <c r="AI304" s="119" t="n">
        <f aca="false">Tabela54[[#This Row],[Kolumna223]]*Tabela54[[#This Row],[Kolumna63]]</f>
        <v>0</v>
      </c>
      <c r="AJ304" s="119"/>
      <c r="AK304" s="122" t="n">
        <f aca="false">Tabela54[[#This Row],[Kolumna34]]*12</f>
        <v>0</v>
      </c>
      <c r="AL304" s="122" t="n">
        <v>300</v>
      </c>
      <c r="AM304" s="119" t="n">
        <f aca="false">Tabela54[[#This Row],[Kolumna322]]*Tabela54[[#This Row],[Kolumna63]]</f>
        <v>60</v>
      </c>
      <c r="AN304" s="122"/>
      <c r="AO304" s="122" t="n">
        <f aca="false">Tabela54[[#This Row],[Kolumna5]]*Tabela54[[#This Row],[Kolumna63]]</f>
        <v>0</v>
      </c>
      <c r="AP304" s="53" t="n">
        <v>0.2</v>
      </c>
      <c r="AQ304" s="29" t="s">
        <v>243</v>
      </c>
      <c r="AR304" s="29" t="s">
        <v>243</v>
      </c>
      <c r="AS304" s="29" t="s">
        <v>243</v>
      </c>
      <c r="AT304" s="29"/>
    </row>
    <row r="305" customFormat="false" ht="33" hidden="false" customHeight="true" outlineLevel="0" collapsed="false">
      <c r="A305" s="25" t="n">
        <v>298</v>
      </c>
      <c r="B305" s="27" t="s">
        <v>241</v>
      </c>
      <c r="C305" s="49" t="s">
        <v>249</v>
      </c>
      <c r="D305" s="134"/>
      <c r="E305" s="135" t="n">
        <v>100</v>
      </c>
      <c r="F305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84.500676</v>
      </c>
      <c r="G305" s="135"/>
      <c r="H305" s="130"/>
      <c r="I305" s="26" t="n">
        <f aca="false">Tabela43[[#This Row],[Kolumna5]]*20700*0.27778</f>
        <v>0</v>
      </c>
      <c r="J305" s="130"/>
      <c r="K305" s="130"/>
      <c r="L305" s="28" t="n">
        <f aca="false">Tabela43[[#This Row],[Kolumna8]]*0.000843882*40190*0.27778</f>
        <v>0</v>
      </c>
      <c r="M305" s="130"/>
      <c r="N305" s="130"/>
      <c r="O305" s="28" t="n">
        <f aca="false">Tabela43[[#This Row],[Kolumna82]]*35.94*0.27778</f>
        <v>0</v>
      </c>
      <c r="P305" s="130"/>
      <c r="Q305" s="130"/>
      <c r="R305" s="130" t="n">
        <v>3</v>
      </c>
      <c r="S305" s="116" t="n">
        <f aca="false">Tabela43[[#This Row],[Kolumna92]]*0.65</f>
        <v>1.95</v>
      </c>
      <c r="T305" s="28" t="n">
        <f aca="false">Tabela43[[#This Row],[Kolumna10]]*15600*0.27778</f>
        <v>8450.0676</v>
      </c>
      <c r="U305" s="130"/>
      <c r="V305" s="130"/>
      <c r="W305" s="130"/>
      <c r="X305" s="130"/>
      <c r="Y305" s="130" t="n">
        <f aca="false">Tabela43[[#This Row],[Kolumna1223]]*12</f>
        <v>0</v>
      </c>
      <c r="Z305" s="28"/>
      <c r="AA305" s="125" t="n">
        <v>1</v>
      </c>
      <c r="AB305" s="125"/>
      <c r="AC305" s="125" t="n">
        <f aca="false">Tabela54[[#This Row],[Kolumna22]]*12</f>
        <v>0</v>
      </c>
      <c r="AD305" s="122"/>
      <c r="AE305" s="120" t="n">
        <f aca="false">Tabela54[[#This Row],[Kolumna23]]*Tabela54[[#This Row],[Kolumna63]]</f>
        <v>0</v>
      </c>
      <c r="AF305" s="120"/>
      <c r="AG305" s="122" t="n">
        <f aca="false">Tabela54[[#This Row],[Kolumna12]]*12</f>
        <v>0</v>
      </c>
      <c r="AH305" s="122" t="n">
        <v>350</v>
      </c>
      <c r="AI305" s="119" t="n">
        <f aca="false">Tabela54[[#This Row],[Kolumna223]]*Tabela54[[#This Row],[Kolumna63]]</f>
        <v>210</v>
      </c>
      <c r="AJ305" s="119"/>
      <c r="AK305" s="122" t="n">
        <f aca="false">Tabela54[[#This Row],[Kolumna34]]*12</f>
        <v>0</v>
      </c>
      <c r="AL305" s="122"/>
      <c r="AM305" s="119" t="n">
        <f aca="false">Tabela54[[#This Row],[Kolumna322]]*Tabela54[[#This Row],[Kolumna63]]</f>
        <v>0</v>
      </c>
      <c r="AN305" s="122"/>
      <c r="AO305" s="122" t="n">
        <f aca="false">Tabela54[[#This Row],[Kolumna5]]*Tabela54[[#This Row],[Kolumna63]]</f>
        <v>0</v>
      </c>
      <c r="AP305" s="53" t="n">
        <v>0.6</v>
      </c>
      <c r="AQ305" s="29" t="s">
        <v>243</v>
      </c>
      <c r="AR305" s="29" t="s">
        <v>243</v>
      </c>
      <c r="AS305" s="29" t="s">
        <v>243</v>
      </c>
      <c r="AT305" s="29"/>
    </row>
    <row r="306" customFormat="false" ht="30" hidden="false" customHeight="true" outlineLevel="0" collapsed="false">
      <c r="A306" s="40" t="n">
        <v>299</v>
      </c>
      <c r="B306" s="27" t="s">
        <v>241</v>
      </c>
      <c r="C306" s="49" t="s">
        <v>249</v>
      </c>
      <c r="D306" s="134"/>
      <c r="E306" s="135" t="n">
        <v>150</v>
      </c>
      <c r="F306" s="2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581.537932266667</v>
      </c>
      <c r="G306" s="135"/>
      <c r="H306" s="130" t="n">
        <v>10</v>
      </c>
      <c r="I306" s="26" t="n">
        <f aca="false">Tabela43[[#This Row],[Kolumna5]]*20700*0.27778</f>
        <v>57500.46</v>
      </c>
      <c r="J306" s="130"/>
      <c r="K306" s="130"/>
      <c r="L306" s="28" t="n">
        <f aca="false">Tabela43[[#This Row],[Kolumna8]]*0.000843882*40190*0.27778</f>
        <v>0</v>
      </c>
      <c r="M306" s="130"/>
      <c r="N306" s="130"/>
      <c r="O306" s="28" t="n">
        <f aca="false">Tabela43[[#This Row],[Kolumna82]]*35.94*0.27778</f>
        <v>0</v>
      </c>
      <c r="P306" s="130" t="n">
        <v>7</v>
      </c>
      <c r="Q306" s="130"/>
      <c r="R306" s="130" t="n">
        <v>10.2</v>
      </c>
      <c r="S306" s="116" t="n">
        <f aca="false">Tabela43[[#This Row],[Kolumna92]]*0.65</f>
        <v>6.63</v>
      </c>
      <c r="T306" s="28" t="n">
        <f aca="false">Tabela43[[#This Row],[Kolumna10]]*15600*0.27778</f>
        <v>28730.22984</v>
      </c>
      <c r="U306" s="130"/>
      <c r="V306" s="130"/>
      <c r="W306" s="130"/>
      <c r="X306" s="130"/>
      <c r="Y306" s="130" t="n">
        <v>1000</v>
      </c>
      <c r="Z306" s="28" t="n">
        <f aca="false">Tabela43[[#This Row],[Kolumna123]]/0.55</f>
        <v>1818.18181818182</v>
      </c>
      <c r="AA306" s="125" t="n">
        <v>1</v>
      </c>
      <c r="AB306" s="125"/>
      <c r="AC306" s="125" t="n">
        <f aca="false">Tabela54[[#This Row],[Kolumna22]]*12</f>
        <v>0</v>
      </c>
      <c r="AD306" s="122"/>
      <c r="AE306" s="120" t="n">
        <f aca="false">Tabela54[[#This Row],[Kolumna23]]*Tabela54[[#This Row],[Kolumna63]]</f>
        <v>0</v>
      </c>
      <c r="AF306" s="120"/>
      <c r="AG306" s="122" t="n">
        <f aca="false">Tabela54[[#This Row],[Kolumna12]]*12</f>
        <v>0</v>
      </c>
      <c r="AH306" s="122"/>
      <c r="AI306" s="119" t="n">
        <f aca="false">Tabela54[[#This Row],[Kolumna223]]*Tabela54[[#This Row],[Kolumna63]]</f>
        <v>0</v>
      </c>
      <c r="AJ306" s="119"/>
      <c r="AK306" s="122" t="n">
        <f aca="false">Tabela54[[#This Row],[Kolumna34]]*12</f>
        <v>0</v>
      </c>
      <c r="AL306" s="122" t="n">
        <v>1000</v>
      </c>
      <c r="AM306" s="119" t="n">
        <f aca="false">Tabela54[[#This Row],[Kolumna322]]*Tabela54[[#This Row],[Kolumna63]]</f>
        <v>500</v>
      </c>
      <c r="AN306" s="122"/>
      <c r="AO306" s="122" t="n">
        <f aca="false">Tabela54[[#This Row],[Kolumna5]]*Tabela54[[#This Row],[Kolumna63]]</f>
        <v>0</v>
      </c>
      <c r="AP306" s="53" t="n">
        <v>0.5</v>
      </c>
      <c r="AQ306" s="29" t="s">
        <v>243</v>
      </c>
      <c r="AR306" s="29" t="s">
        <v>244</v>
      </c>
      <c r="AS306" s="29" t="s">
        <v>243</v>
      </c>
      <c r="AT306" s="29"/>
    </row>
    <row r="307" customFormat="false" ht="30" hidden="false" customHeight="true" outlineLevel="0" collapsed="false">
      <c r="A307" s="25" t="n">
        <v>300</v>
      </c>
      <c r="B307" s="27" t="s">
        <v>241</v>
      </c>
      <c r="C307" s="49" t="s">
        <v>249</v>
      </c>
      <c r="D307" s="134"/>
      <c r="E307" s="135" t="n">
        <v>130</v>
      </c>
      <c r="F307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1083.342</v>
      </c>
      <c r="G307" s="135"/>
      <c r="H307" s="130"/>
      <c r="I307" s="115" t="n">
        <f aca="false">Tabela43[[#This Row],[Kolumna5]]*20700*0.27778</f>
        <v>0</v>
      </c>
      <c r="J307" s="130"/>
      <c r="K307" s="130"/>
      <c r="L307" s="28" t="n">
        <f aca="false">Tabela43[[#This Row],[Kolumna8]]*0.000843882*40190*0.27778</f>
        <v>0</v>
      </c>
      <c r="M307" s="130"/>
      <c r="N307" s="130"/>
      <c r="O307" s="28" t="n">
        <f aca="false">Tabela43[[#This Row],[Kolumna82]]*35.94*0.27778</f>
        <v>0</v>
      </c>
      <c r="P307" s="130"/>
      <c r="Q307" s="130"/>
      <c r="R307" s="130" t="n">
        <v>50</v>
      </c>
      <c r="S307" s="116" t="n">
        <f aca="false">Tabela43[[#This Row],[Kolumna92]]*0.65</f>
        <v>32.5</v>
      </c>
      <c r="T307" s="116" t="n">
        <f aca="false">Tabela43[[#This Row],[Kolumna10]]*15600*0.27778</f>
        <v>140834.46</v>
      </c>
      <c r="U307" s="130"/>
      <c r="V307" s="130"/>
      <c r="W307" s="130"/>
      <c r="X307" s="130"/>
      <c r="Y307" s="130" t="n">
        <f aca="false">Tabela43[[#This Row],[Kolumna1223]]*12</f>
        <v>0</v>
      </c>
      <c r="Z307" s="28" t="n">
        <v>1700</v>
      </c>
      <c r="AA307" s="125" t="n">
        <v>1</v>
      </c>
      <c r="AB307" s="125"/>
      <c r="AC307" s="125" t="n">
        <f aca="false">Tabela54[[#This Row],[Kolumna22]]*12</f>
        <v>0</v>
      </c>
      <c r="AD307" s="122"/>
      <c r="AE307" s="120" t="n">
        <f aca="false">Tabela54[[#This Row],[Kolumna23]]*Tabela54[[#This Row],[Kolumna63]]</f>
        <v>0</v>
      </c>
      <c r="AF307" s="120"/>
      <c r="AG307" s="122" t="n">
        <f aca="false">Tabela54[[#This Row],[Kolumna12]]*12</f>
        <v>0</v>
      </c>
      <c r="AH307" s="122"/>
      <c r="AI307" s="119" t="n">
        <f aca="false">Tabela54[[#This Row],[Kolumna223]]*Tabela54[[#This Row],[Kolumna63]]</f>
        <v>0</v>
      </c>
      <c r="AJ307" s="119"/>
      <c r="AK307" s="122" t="n">
        <f aca="false">Tabela54[[#This Row],[Kolumna34]]*12</f>
        <v>0</v>
      </c>
      <c r="AL307" s="122" t="n">
        <v>1000</v>
      </c>
      <c r="AM307" s="119" t="n">
        <f aca="false">Tabela54[[#This Row],[Kolumna322]]*Tabela54[[#This Row],[Kolumna63]]</f>
        <v>500</v>
      </c>
      <c r="AN307" s="122"/>
      <c r="AO307" s="122" t="n">
        <f aca="false">Tabela54[[#This Row],[Kolumna5]]*Tabela54[[#This Row],[Kolumna63]]</f>
        <v>0</v>
      </c>
      <c r="AP307" s="53" t="n">
        <v>0.5</v>
      </c>
      <c r="AQ307" s="29" t="s">
        <v>243</v>
      </c>
      <c r="AR307" s="29" t="s">
        <v>243</v>
      </c>
      <c r="AS307" s="29" t="s">
        <v>243</v>
      </c>
      <c r="AT307" s="29"/>
    </row>
    <row r="308" customFormat="false" ht="29.25" hidden="false" customHeight="true" outlineLevel="0" collapsed="false">
      <c r="A308" s="25" t="n">
        <v>301</v>
      </c>
      <c r="B308" s="27" t="s">
        <v>241</v>
      </c>
      <c r="C308" s="49" t="s">
        <v>249</v>
      </c>
      <c r="D308" s="134"/>
      <c r="E308" s="135"/>
      <c r="F308" s="116" t="e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#DIV/0!</v>
      </c>
      <c r="G308" s="135"/>
      <c r="H308" s="130"/>
      <c r="I308" s="115" t="n">
        <f aca="false">Tabela43[[#This Row],[Kolumna5]]*20700*0.27778</f>
        <v>0</v>
      </c>
      <c r="J308" s="130"/>
      <c r="K308" s="130"/>
      <c r="L308" s="28" t="n">
        <f aca="false">Tabela43[[#This Row],[Kolumna8]]*0.000843882*40190*0.27778</f>
        <v>0</v>
      </c>
      <c r="M308" s="130"/>
      <c r="N308" s="130"/>
      <c r="O308" s="28" t="n">
        <f aca="false">Tabela43[[#This Row],[Kolumna82]]*35.94*0.27778</f>
        <v>0</v>
      </c>
      <c r="P308" s="130"/>
      <c r="Q308" s="130"/>
      <c r="R308" s="130" t="n">
        <v>20</v>
      </c>
      <c r="S308" s="116" t="n">
        <f aca="false">Tabela43[[#This Row],[Kolumna92]]*0.65</f>
        <v>13</v>
      </c>
      <c r="T308" s="116" t="n">
        <f aca="false">Tabela43[[#This Row],[Kolumna10]]*15600*0.27778</f>
        <v>56333.784</v>
      </c>
      <c r="U308" s="130"/>
      <c r="V308" s="130"/>
      <c r="W308" s="130"/>
      <c r="X308" s="130"/>
      <c r="Y308" s="130" t="n">
        <f aca="false">Tabela43[[#This Row],[Kolumna1223]]*12</f>
        <v>0</v>
      </c>
      <c r="Z308" s="28"/>
      <c r="AA308" s="125" t="n">
        <v>2</v>
      </c>
      <c r="AB308" s="125"/>
      <c r="AC308" s="125" t="n">
        <f aca="false">Tabela54[[#This Row],[Kolumna22]]*12</f>
        <v>0</v>
      </c>
      <c r="AD308" s="122" t="n">
        <v>900</v>
      </c>
      <c r="AE308" s="120" t="n">
        <f aca="false">Tabela54[[#This Row],[Kolumna23]]*Tabela54[[#This Row],[Kolumna63]]</f>
        <v>900</v>
      </c>
      <c r="AF308" s="120"/>
      <c r="AG308" s="122" t="n">
        <f aca="false">Tabela54[[#This Row],[Kolumna12]]*12</f>
        <v>0</v>
      </c>
      <c r="AH308" s="122"/>
      <c r="AI308" s="119" t="n">
        <f aca="false">Tabela54[[#This Row],[Kolumna223]]*Tabela54[[#This Row],[Kolumna63]]</f>
        <v>0</v>
      </c>
      <c r="AJ308" s="119"/>
      <c r="AK308" s="122" t="n">
        <f aca="false">Tabela54[[#This Row],[Kolumna34]]*12</f>
        <v>0</v>
      </c>
      <c r="AL308" s="122" t="n">
        <v>700</v>
      </c>
      <c r="AM308" s="119" t="n">
        <f aca="false">Tabela54[[#This Row],[Kolumna322]]*Tabela54[[#This Row],[Kolumna63]]</f>
        <v>700</v>
      </c>
      <c r="AN308" s="122"/>
      <c r="AO308" s="122" t="n">
        <f aca="false">Tabela54[[#This Row],[Kolumna5]]*Tabela54[[#This Row],[Kolumna63]]</f>
        <v>0</v>
      </c>
      <c r="AP308" s="53" t="n">
        <v>1</v>
      </c>
      <c r="AQ308" s="29" t="s">
        <v>244</v>
      </c>
      <c r="AR308" s="29" t="s">
        <v>244</v>
      </c>
      <c r="AS308" s="29" t="s">
        <v>243</v>
      </c>
      <c r="AT308" s="29"/>
    </row>
    <row r="309" customFormat="false" ht="30.75" hidden="false" customHeight="true" outlineLevel="0" collapsed="false">
      <c r="A309" s="40" t="n">
        <v>302</v>
      </c>
      <c r="B309" s="27" t="s">
        <v>241</v>
      </c>
      <c r="C309" s="49" t="s">
        <v>249</v>
      </c>
      <c r="D309" s="134"/>
      <c r="E309" s="135" t="n">
        <v>150</v>
      </c>
      <c r="F309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687.856280584</v>
      </c>
      <c r="G309" s="135"/>
      <c r="H309" s="130" t="n">
        <v>3</v>
      </c>
      <c r="I309" s="115" t="n">
        <f aca="false">Tabela43[[#This Row],[Kolumna5]]*20700*0.27778</f>
        <v>17250.138</v>
      </c>
      <c r="J309" s="130"/>
      <c r="K309" s="130"/>
      <c r="L309" s="28" t="n">
        <f aca="false">Tabela43[[#This Row],[Kolumna8]]*0.000843882*40190*0.27778</f>
        <v>0</v>
      </c>
      <c r="M309" s="130"/>
      <c r="N309" s="130" t="n">
        <v>143</v>
      </c>
      <c r="O309" s="28" t="n">
        <f aca="false">Tabela43[[#This Row],[Kolumna82]]*35.94*0.27778</f>
        <v>1427.6280876</v>
      </c>
      <c r="P309" s="130"/>
      <c r="Q309" s="130"/>
      <c r="R309" s="130" t="n">
        <v>30</v>
      </c>
      <c r="S309" s="116" t="n">
        <f aca="false">Tabela43[[#This Row],[Kolumna92]]*0.65</f>
        <v>19.5</v>
      </c>
      <c r="T309" s="116" t="n">
        <f aca="false">Tabela43[[#This Row],[Kolumna10]]*15600*0.27778</f>
        <v>84500.676</v>
      </c>
      <c r="U309" s="130"/>
      <c r="V309" s="130"/>
      <c r="W309" s="130"/>
      <c r="X309" s="130"/>
      <c r="Y309" s="130" t="n">
        <f aca="false">Tabela43[[#This Row],[Kolumna1223]]*12</f>
        <v>0</v>
      </c>
      <c r="Z309" s="28" t="n">
        <v>4410</v>
      </c>
      <c r="AA309" s="125" t="n">
        <v>2</v>
      </c>
      <c r="AB309" s="125"/>
      <c r="AC309" s="125" t="n">
        <f aca="false">Tabela54[[#This Row],[Kolumna22]]*12</f>
        <v>0</v>
      </c>
      <c r="AD309" s="122" t="n">
        <v>100</v>
      </c>
      <c r="AE309" s="120" t="n">
        <f aca="false">Tabela54[[#This Row],[Kolumna23]]*Tabela54[[#This Row],[Kolumna63]]</f>
        <v>30</v>
      </c>
      <c r="AF309" s="120"/>
      <c r="AG309" s="122" t="n">
        <f aca="false">Tabela54[[#This Row],[Kolumna12]]*12</f>
        <v>0</v>
      </c>
      <c r="AH309" s="122"/>
      <c r="AI309" s="119" t="n">
        <f aca="false">Tabela54[[#This Row],[Kolumna223]]*Tabela54[[#This Row],[Kolumna63]]</f>
        <v>0</v>
      </c>
      <c r="AJ309" s="119"/>
      <c r="AK309" s="122" t="n">
        <f aca="false">Tabela54[[#This Row],[Kolumna34]]*12</f>
        <v>0</v>
      </c>
      <c r="AL309" s="122"/>
      <c r="AM309" s="119" t="n">
        <f aca="false">Tabela54[[#This Row],[Kolumna322]]*Tabela54[[#This Row],[Kolumna63]]</f>
        <v>0</v>
      </c>
      <c r="AN309" s="122"/>
      <c r="AO309" s="122" t="n">
        <f aca="false">Tabela54[[#This Row],[Kolumna5]]*Tabela54[[#This Row],[Kolumna63]]</f>
        <v>0</v>
      </c>
      <c r="AP309" s="53" t="n">
        <v>0.3</v>
      </c>
      <c r="AQ309" s="29" t="s">
        <v>243</v>
      </c>
      <c r="AR309" s="29" t="s">
        <v>243</v>
      </c>
      <c r="AS309" s="29" t="s">
        <v>243</v>
      </c>
      <c r="AT309" s="29"/>
    </row>
    <row r="310" customFormat="false" ht="29.25" hidden="false" customHeight="true" outlineLevel="0" collapsed="false">
      <c r="A310" s="25" t="n">
        <v>303</v>
      </c>
      <c r="B310" s="27" t="s">
        <v>241</v>
      </c>
      <c r="C310" s="49" t="s">
        <v>249</v>
      </c>
      <c r="D310" s="134"/>
      <c r="E310" s="135" t="n">
        <v>100</v>
      </c>
      <c r="F310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496.503972</v>
      </c>
      <c r="G310" s="135"/>
      <c r="H310" s="130" t="n">
        <v>2</v>
      </c>
      <c r="I310" s="115" t="n">
        <f aca="false">Tabela43[[#This Row],[Kolumna5]]*20700*0.27778</f>
        <v>11500.092</v>
      </c>
      <c r="J310" s="130"/>
      <c r="K310" s="130"/>
      <c r="L310" s="28" t="n">
        <f aca="false">Tabela43[[#This Row],[Kolumna8]]*0.000843882*40190*0.27778</f>
        <v>0</v>
      </c>
      <c r="M310" s="130"/>
      <c r="N310" s="130" t="n">
        <v>1000</v>
      </c>
      <c r="O310" s="28" t="n">
        <f aca="false">Tabela43[[#This Row],[Kolumna82]]*35.94*0.27778</f>
        <v>9983.4132</v>
      </c>
      <c r="P310" s="130"/>
      <c r="Q310" s="130"/>
      <c r="R310" s="130" t="n">
        <v>10</v>
      </c>
      <c r="S310" s="116" t="n">
        <f aca="false">Tabela43[[#This Row],[Kolumna92]]*0.65</f>
        <v>6.5</v>
      </c>
      <c r="T310" s="116" t="n">
        <f aca="false">Tabela43[[#This Row],[Kolumna10]]*15600*0.27778</f>
        <v>28166.892</v>
      </c>
      <c r="U310" s="130"/>
      <c r="V310" s="130"/>
      <c r="W310" s="130"/>
      <c r="X310" s="130"/>
      <c r="Y310" s="130" t="n">
        <f aca="false">Tabela43[[#This Row],[Kolumna1223]]*12</f>
        <v>0</v>
      </c>
      <c r="Z310" s="28" t="n">
        <v>1500</v>
      </c>
      <c r="AA310" s="125" t="n">
        <v>2</v>
      </c>
      <c r="AB310" s="125"/>
      <c r="AC310" s="125" t="n">
        <f aca="false">Tabela54[[#This Row],[Kolumna22]]*12</f>
        <v>0</v>
      </c>
      <c r="AD310" s="122" t="n">
        <v>1000</v>
      </c>
      <c r="AE310" s="120" t="n">
        <f aca="false">Tabela54[[#This Row],[Kolumna23]]*Tabela54[[#This Row],[Kolumna63]]</f>
        <v>600</v>
      </c>
      <c r="AF310" s="120"/>
      <c r="AG310" s="122" t="n">
        <f aca="false">Tabela54[[#This Row],[Kolumna12]]*12</f>
        <v>0</v>
      </c>
      <c r="AH310" s="122"/>
      <c r="AI310" s="119" t="n">
        <f aca="false">Tabela54[[#This Row],[Kolumna223]]*Tabela54[[#This Row],[Kolumna63]]</f>
        <v>0</v>
      </c>
      <c r="AJ310" s="119"/>
      <c r="AK310" s="122" t="n">
        <f aca="false">Tabela54[[#This Row],[Kolumna34]]*12</f>
        <v>0</v>
      </c>
      <c r="AL310" s="122" t="n">
        <v>900</v>
      </c>
      <c r="AM310" s="119" t="n">
        <f aca="false">Tabela54[[#This Row],[Kolumna322]]*Tabela54[[#This Row],[Kolumna63]]</f>
        <v>540</v>
      </c>
      <c r="AN310" s="122"/>
      <c r="AO310" s="122" t="n">
        <f aca="false">Tabela54[[#This Row],[Kolumna5]]*Tabela54[[#This Row],[Kolumna63]]</f>
        <v>0</v>
      </c>
      <c r="AP310" s="53" t="n">
        <v>0.6</v>
      </c>
      <c r="AQ310" s="29" t="s">
        <v>243</v>
      </c>
      <c r="AR310" s="29" t="s">
        <v>243</v>
      </c>
      <c r="AS310" s="29" t="s">
        <v>243</v>
      </c>
      <c r="AT310" s="29"/>
    </row>
    <row r="311" customFormat="false" ht="32.25" hidden="false" customHeight="true" outlineLevel="0" collapsed="false">
      <c r="A311" s="25" t="n">
        <v>304</v>
      </c>
      <c r="B311" s="27" t="s">
        <v>241</v>
      </c>
      <c r="C311" s="49" t="s">
        <v>257</v>
      </c>
      <c r="D311" s="134"/>
      <c r="E311" s="135" t="n">
        <v>200</v>
      </c>
      <c r="F311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43.125345</v>
      </c>
      <c r="G311" s="135"/>
      <c r="H311" s="130" t="n">
        <v>1.5</v>
      </c>
      <c r="I311" s="115" t="n">
        <f aca="false">Tabela43[[#This Row],[Kolumna5]]*20700*0.27778</f>
        <v>8625.069</v>
      </c>
      <c r="J311" s="130"/>
      <c r="K311" s="130"/>
      <c r="L311" s="28" t="n">
        <f aca="false">Tabela43[[#This Row],[Kolumna8]]*0.000843882*40190*0.27778</f>
        <v>0</v>
      </c>
      <c r="M311" s="130"/>
      <c r="N311" s="130"/>
      <c r="O311" s="28" t="n">
        <f aca="false">Tabela43[[#This Row],[Kolumna82]]*35.94*0.27778</f>
        <v>0</v>
      </c>
      <c r="P311" s="130"/>
      <c r="Q311" s="130"/>
      <c r="R311" s="130"/>
      <c r="S311" s="116" t="n">
        <f aca="false">Tabela43[[#This Row],[Kolumna92]]*0.65</f>
        <v>0</v>
      </c>
      <c r="T311" s="116" t="n">
        <f aca="false">Tabela43[[#This Row],[Kolumna10]]*15600*0.27778</f>
        <v>0</v>
      </c>
      <c r="U311" s="130"/>
      <c r="V311" s="130"/>
      <c r="W311" s="130"/>
      <c r="X311" s="130"/>
      <c r="Y311" s="130" t="n">
        <f aca="false">Tabela43[[#This Row],[Kolumna1223]]*12</f>
        <v>0</v>
      </c>
      <c r="Z311" s="28"/>
      <c r="AA311" s="125" t="n">
        <v>0</v>
      </c>
      <c r="AB311" s="125"/>
      <c r="AC311" s="125" t="n">
        <f aca="false">Tabela54[[#This Row],[Kolumna22]]*12</f>
        <v>0</v>
      </c>
      <c r="AD311" s="122"/>
      <c r="AE311" s="120" t="n">
        <f aca="false">Tabela54[[#This Row],[Kolumna23]]*Tabela54[[#This Row],[Kolumna63]]</f>
        <v>0</v>
      </c>
      <c r="AF311" s="120"/>
      <c r="AG311" s="122" t="n">
        <f aca="false">Tabela54[[#This Row],[Kolumna12]]*12</f>
        <v>0</v>
      </c>
      <c r="AH311" s="122"/>
      <c r="AI311" s="119" t="n">
        <f aca="false">Tabela54[[#This Row],[Kolumna223]]*Tabela54[[#This Row],[Kolumna63]]</f>
        <v>0</v>
      </c>
      <c r="AJ311" s="119"/>
      <c r="AK311" s="122" t="n">
        <f aca="false">Tabela54[[#This Row],[Kolumna34]]*12</f>
        <v>0</v>
      </c>
      <c r="AL311" s="122"/>
      <c r="AM311" s="119" t="n">
        <f aca="false">Tabela54[[#This Row],[Kolumna322]]*Tabela54[[#This Row],[Kolumna63]]</f>
        <v>0</v>
      </c>
      <c r="AN311" s="122"/>
      <c r="AO311" s="122" t="n">
        <f aca="false">Tabela54[[#This Row],[Kolumna5]]*Tabela54[[#This Row],[Kolumna63]]</f>
        <v>0</v>
      </c>
      <c r="AP311" s="53"/>
      <c r="AQ311" s="29" t="s">
        <v>243</v>
      </c>
      <c r="AR311" s="29" t="s">
        <v>243</v>
      </c>
      <c r="AS311" s="29" t="s">
        <v>243</v>
      </c>
      <c r="AT311" s="29"/>
    </row>
    <row r="312" customFormat="false" ht="33" hidden="false" customHeight="true" outlineLevel="0" collapsed="false">
      <c r="A312" s="40" t="n">
        <v>305</v>
      </c>
      <c r="B312" s="27" t="s">
        <v>241</v>
      </c>
      <c r="C312" s="49" t="s">
        <v>249</v>
      </c>
      <c r="D312" s="134"/>
      <c r="E312" s="135" t="n">
        <v>150</v>
      </c>
      <c r="F312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375.89134044</v>
      </c>
      <c r="G312" s="135"/>
      <c r="H312" s="130"/>
      <c r="I312" s="115" t="n">
        <f aca="false">Tabela43[[#This Row],[Kolumna5]]*20700*0.27778</f>
        <v>0</v>
      </c>
      <c r="J312" s="130"/>
      <c r="K312" s="130"/>
      <c r="L312" s="28" t="n">
        <f aca="false">Tabela43[[#This Row],[Kolumna8]]*0.000843882*40190*0.27778</f>
        <v>0</v>
      </c>
      <c r="M312" s="130"/>
      <c r="N312" s="130" t="n">
        <v>5</v>
      </c>
      <c r="O312" s="28" t="n">
        <f aca="false">Tabela43[[#This Row],[Kolumna82]]*35.94*0.27778</f>
        <v>49.917066</v>
      </c>
      <c r="P312" s="130"/>
      <c r="Q312" s="130"/>
      <c r="R312" s="130" t="n">
        <v>20</v>
      </c>
      <c r="S312" s="116" t="n">
        <f aca="false">Tabela43[[#This Row],[Kolumna92]]*0.65</f>
        <v>13</v>
      </c>
      <c r="T312" s="116" t="n">
        <f aca="false">Tabela43[[#This Row],[Kolumna10]]*15600*0.27778</f>
        <v>56333.784</v>
      </c>
      <c r="U312" s="130"/>
      <c r="V312" s="130"/>
      <c r="W312" s="130"/>
      <c r="X312" s="130"/>
      <c r="Y312" s="130" t="n">
        <f aca="false">Tabela43[[#This Row],[Kolumna1223]]*12</f>
        <v>0</v>
      </c>
      <c r="Z312" s="28" t="n">
        <v>2500</v>
      </c>
      <c r="AA312" s="125" t="n">
        <v>2</v>
      </c>
      <c r="AB312" s="125"/>
      <c r="AC312" s="125" t="n">
        <f aca="false">Tabela54[[#This Row],[Kolumna22]]*12</f>
        <v>0</v>
      </c>
      <c r="AD312" s="122" t="n">
        <v>200</v>
      </c>
      <c r="AE312" s="120" t="n">
        <f aca="false">Tabela54[[#This Row],[Kolumna23]]*Tabela54[[#This Row],[Kolumna63]]</f>
        <v>190</v>
      </c>
      <c r="AF312" s="120"/>
      <c r="AG312" s="122" t="n">
        <f aca="false">Tabela54[[#This Row],[Kolumna12]]*12</f>
        <v>0</v>
      </c>
      <c r="AH312" s="122"/>
      <c r="AI312" s="119" t="n">
        <f aca="false">Tabela54[[#This Row],[Kolumna223]]*Tabela54[[#This Row],[Kolumna63]]</f>
        <v>0</v>
      </c>
      <c r="AJ312" s="119"/>
      <c r="AK312" s="122" t="n">
        <f aca="false">Tabela54[[#This Row],[Kolumna34]]*12</f>
        <v>0</v>
      </c>
      <c r="AL312" s="122" t="n">
        <v>400</v>
      </c>
      <c r="AM312" s="119" t="n">
        <f aca="false">Tabela54[[#This Row],[Kolumna322]]*Tabela54[[#This Row],[Kolumna63]]</f>
        <v>380</v>
      </c>
      <c r="AN312" s="122"/>
      <c r="AO312" s="122" t="n">
        <f aca="false">Tabela54[[#This Row],[Kolumna5]]*Tabela54[[#This Row],[Kolumna63]]</f>
        <v>0</v>
      </c>
      <c r="AP312" s="53" t="n">
        <v>0.95</v>
      </c>
      <c r="AQ312" s="29" t="s">
        <v>243</v>
      </c>
      <c r="AR312" s="29" t="s">
        <v>244</v>
      </c>
      <c r="AS312" s="29" t="s">
        <v>243</v>
      </c>
      <c r="AT312" s="29"/>
    </row>
    <row r="313" customFormat="false" ht="30.75" hidden="false" customHeight="true" outlineLevel="0" collapsed="false">
      <c r="A313" s="25" t="n">
        <v>306</v>
      </c>
      <c r="B313" s="27" t="s">
        <v>241</v>
      </c>
      <c r="C313" s="49" t="s">
        <v>249</v>
      </c>
      <c r="D313" s="134"/>
      <c r="E313" s="135" t="n">
        <v>220</v>
      </c>
      <c r="F313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194.698527272727</v>
      </c>
      <c r="G313" s="135"/>
      <c r="H313" s="130" t="n">
        <v>5</v>
      </c>
      <c r="I313" s="115" t="n">
        <f aca="false">Tabela43[[#This Row],[Kolumna5]]*20700*0.27778</f>
        <v>28750.23</v>
      </c>
      <c r="J313" s="130"/>
      <c r="K313" s="130"/>
      <c r="L313" s="28" t="n">
        <f aca="false">Tabela43[[#This Row],[Kolumna8]]*0.000843882*40190*0.27778</f>
        <v>0</v>
      </c>
      <c r="M313" s="130"/>
      <c r="N313" s="130"/>
      <c r="O313" s="28" t="n">
        <f aca="false">Tabela43[[#This Row],[Kolumna82]]*35.94*0.27778</f>
        <v>0</v>
      </c>
      <c r="P313" s="130"/>
      <c r="Q313" s="130"/>
      <c r="R313" s="130" t="n">
        <v>5</v>
      </c>
      <c r="S313" s="116" t="n">
        <f aca="false">Tabela43[[#This Row],[Kolumna92]]*0.65</f>
        <v>3.25</v>
      </c>
      <c r="T313" s="116" t="n">
        <f aca="false">Tabela43[[#This Row],[Kolumna10]]*15600*0.27778</f>
        <v>14083.446</v>
      </c>
      <c r="U313" s="130"/>
      <c r="V313" s="130"/>
      <c r="W313" s="130"/>
      <c r="X313" s="130"/>
      <c r="Y313" s="130" t="n">
        <f aca="false">Tabela43[[#This Row],[Kolumna1223]]*12</f>
        <v>0</v>
      </c>
      <c r="Z313" s="28" t="n">
        <v>2400</v>
      </c>
      <c r="AA313" s="125" t="n">
        <v>3</v>
      </c>
      <c r="AB313" s="125"/>
      <c r="AC313" s="125" t="n">
        <f aca="false">Tabela54[[#This Row],[Kolumna22]]*12</f>
        <v>0</v>
      </c>
      <c r="AD313" s="122" t="n">
        <v>560</v>
      </c>
      <c r="AE313" s="120" t="n">
        <f aca="false">Tabela54[[#This Row],[Kolumna23]]*Tabela54[[#This Row],[Kolumna63]]</f>
        <v>532</v>
      </c>
      <c r="AF313" s="120"/>
      <c r="AG313" s="122" t="n">
        <f aca="false">Tabela54[[#This Row],[Kolumna12]]*12</f>
        <v>0</v>
      </c>
      <c r="AH313" s="122"/>
      <c r="AI313" s="119" t="n">
        <f aca="false">Tabela54[[#This Row],[Kolumna223]]*Tabela54[[#This Row],[Kolumna63]]</f>
        <v>0</v>
      </c>
      <c r="AJ313" s="119"/>
      <c r="AK313" s="122" t="n">
        <f aca="false">Tabela54[[#This Row],[Kolumna34]]*12</f>
        <v>0</v>
      </c>
      <c r="AL313" s="122" t="n">
        <v>1010</v>
      </c>
      <c r="AM313" s="119" t="n">
        <f aca="false">Tabela54[[#This Row],[Kolumna322]]*Tabela54[[#This Row],[Kolumna63]]</f>
        <v>959.5</v>
      </c>
      <c r="AN313" s="122"/>
      <c r="AO313" s="122" t="n">
        <f aca="false">Tabela54[[#This Row],[Kolumna5]]*Tabela54[[#This Row],[Kolumna63]]</f>
        <v>0</v>
      </c>
      <c r="AP313" s="53" t="n">
        <v>0.95</v>
      </c>
      <c r="AQ313" s="29" t="s">
        <v>243</v>
      </c>
      <c r="AR313" s="29" t="s">
        <v>243</v>
      </c>
      <c r="AS313" s="29" t="s">
        <v>243</v>
      </c>
      <c r="AT313" s="29"/>
    </row>
    <row r="314" customFormat="false" ht="27" hidden="false" customHeight="true" outlineLevel="0" collapsed="false">
      <c r="A314" s="25" t="n">
        <v>307</v>
      </c>
      <c r="B314" s="27" t="s">
        <v>241</v>
      </c>
      <c r="C314" s="49" t="s">
        <v>249</v>
      </c>
      <c r="D314" s="134"/>
      <c r="E314" s="135" t="n">
        <v>150</v>
      </c>
      <c r="F314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339.66892</v>
      </c>
      <c r="G314" s="135"/>
      <c r="H314" s="130"/>
      <c r="I314" s="115" t="n">
        <f aca="false">Tabela43[[#This Row],[Kolumna5]]*20700*0.27778</f>
        <v>0</v>
      </c>
      <c r="J314" s="130"/>
      <c r="K314" s="130"/>
      <c r="L314" s="28" t="n">
        <f aca="false">Tabela43[[#This Row],[Kolumna8]]*0.000843882*40190*0.27778</f>
        <v>0</v>
      </c>
      <c r="M314" s="130"/>
      <c r="N314" s="130"/>
      <c r="O314" s="28" t="n">
        <f aca="false">Tabela43[[#This Row],[Kolumna82]]*35.94*0.27778</f>
        <v>0</v>
      </c>
      <c r="P314" s="130"/>
      <c r="Q314" s="130"/>
      <c r="R314" s="130" t="n">
        <v>15</v>
      </c>
      <c r="S314" s="116" t="n">
        <f aca="false">Tabela43[[#This Row],[Kolumna92]]*0.65</f>
        <v>9.75</v>
      </c>
      <c r="T314" s="116" t="n">
        <f aca="false">Tabela43[[#This Row],[Kolumna10]]*15600*0.27778</f>
        <v>42250.338</v>
      </c>
      <c r="U314" s="143" t="n">
        <v>2700</v>
      </c>
      <c r="V314" s="130"/>
      <c r="W314" s="130" t="s">
        <v>260</v>
      </c>
      <c r="X314" s="130"/>
      <c r="Y314" s="130" t="n">
        <v>6000</v>
      </c>
      <c r="Z314" s="28" t="n">
        <f aca="false">Tabela43[[#This Row],[Kolumna123]]/0.55</f>
        <v>10909.0909090909</v>
      </c>
      <c r="AA314" s="125" t="n">
        <v>1</v>
      </c>
      <c r="AB314" s="125"/>
      <c r="AC314" s="125" t="n">
        <f aca="false">Tabela54[[#This Row],[Kolumna22]]*12</f>
        <v>0</v>
      </c>
      <c r="AD314" s="122" t="n">
        <v>1000</v>
      </c>
      <c r="AE314" s="120" t="n">
        <f aca="false">Tabela54[[#This Row],[Kolumna23]]*Tabela54[[#This Row],[Kolumna63]]</f>
        <v>980</v>
      </c>
      <c r="AF314" s="120"/>
      <c r="AG314" s="122" t="n">
        <f aca="false">Tabela54[[#This Row],[Kolumna12]]*12</f>
        <v>0</v>
      </c>
      <c r="AH314" s="122"/>
      <c r="AI314" s="119" t="n">
        <f aca="false">Tabela54[[#This Row],[Kolumna223]]*Tabela54[[#This Row],[Kolumna63]]</f>
        <v>0</v>
      </c>
      <c r="AJ314" s="119"/>
      <c r="AK314" s="122" t="n">
        <f aca="false">Tabela54[[#This Row],[Kolumna34]]*12</f>
        <v>0</v>
      </c>
      <c r="AL314" s="122"/>
      <c r="AM314" s="119" t="n">
        <f aca="false">Tabela54[[#This Row],[Kolumna322]]*Tabela54[[#This Row],[Kolumna63]]</f>
        <v>0</v>
      </c>
      <c r="AN314" s="122"/>
      <c r="AO314" s="122" t="n">
        <f aca="false">Tabela54[[#This Row],[Kolumna5]]*Tabela54[[#This Row],[Kolumna63]]</f>
        <v>0</v>
      </c>
      <c r="AP314" s="53" t="n">
        <v>0.98</v>
      </c>
      <c r="AQ314" s="29" t="s">
        <v>243</v>
      </c>
      <c r="AR314" s="29" t="s">
        <v>243</v>
      </c>
      <c r="AS314" s="29" t="s">
        <v>243</v>
      </c>
      <c r="AT314" s="29"/>
    </row>
    <row r="315" customFormat="false" ht="30" hidden="false" customHeight="true" outlineLevel="0" collapsed="false">
      <c r="A315" s="40" t="n">
        <v>308</v>
      </c>
      <c r="B315" s="27" t="s">
        <v>241</v>
      </c>
      <c r="C315" s="49" t="s">
        <v>249</v>
      </c>
      <c r="D315" s="134"/>
      <c r="E315" s="135" t="n">
        <v>85</v>
      </c>
      <c r="F315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598.5342</v>
      </c>
      <c r="G315" s="135"/>
      <c r="H315" s="130" t="n">
        <v>1.5</v>
      </c>
      <c r="I315" s="115" t="n">
        <f aca="false">Tabela43[[#This Row],[Kolumna5]]*20700*0.27778</f>
        <v>8625.069</v>
      </c>
      <c r="J315" s="130"/>
      <c r="K315" s="130"/>
      <c r="L315" s="28" t="n">
        <f aca="false">Tabela43[[#This Row],[Kolumna8]]*0.000843882*40190*0.27778</f>
        <v>0</v>
      </c>
      <c r="M315" s="130"/>
      <c r="N315" s="130"/>
      <c r="O315" s="28" t="n">
        <f aca="false">Tabela43[[#This Row],[Kolumna82]]*35.94*0.27778</f>
        <v>0</v>
      </c>
      <c r="P315" s="130" t="n">
        <v>12</v>
      </c>
      <c r="Q315" s="130"/>
      <c r="R315" s="130" t="n">
        <v>15</v>
      </c>
      <c r="S315" s="116" t="n">
        <f aca="false">Tabela43[[#This Row],[Kolumna92]]*0.65</f>
        <v>9.75</v>
      </c>
      <c r="T315" s="116" t="n">
        <f aca="false">Tabela43[[#This Row],[Kolumna10]]*15600*0.27778</f>
        <v>42250.338</v>
      </c>
      <c r="U315" s="130"/>
      <c r="V315" s="130"/>
      <c r="W315" s="130"/>
      <c r="X315" s="130"/>
      <c r="Y315" s="130" t="n">
        <f aca="false">Tabela43[[#This Row],[Kolumna1223]]*12</f>
        <v>0</v>
      </c>
      <c r="Z315" s="28" t="n">
        <v>2492</v>
      </c>
      <c r="AA315" s="125" t="n">
        <v>2</v>
      </c>
      <c r="AB315" s="125"/>
      <c r="AC315" s="125" t="n">
        <f aca="false">Tabela54[[#This Row],[Kolumna22]]*12</f>
        <v>0</v>
      </c>
      <c r="AD315" s="122"/>
      <c r="AE315" s="120" t="n">
        <f aca="false">Tabela54[[#This Row],[Kolumna23]]*Tabela54[[#This Row],[Kolumna63]]</f>
        <v>0</v>
      </c>
      <c r="AF315" s="120"/>
      <c r="AG315" s="122" t="n">
        <f aca="false">Tabela54[[#This Row],[Kolumna12]]*12</f>
        <v>0</v>
      </c>
      <c r="AH315" s="122"/>
      <c r="AI315" s="119" t="n">
        <f aca="false">Tabela54[[#This Row],[Kolumna223]]*Tabela54[[#This Row],[Kolumna63]]</f>
        <v>0</v>
      </c>
      <c r="AJ315" s="119"/>
      <c r="AK315" s="122" t="n">
        <f aca="false">Tabela54[[#This Row],[Kolumna34]]*12</f>
        <v>0</v>
      </c>
      <c r="AL315" s="122" t="n">
        <v>1600</v>
      </c>
      <c r="AM315" s="119" t="n">
        <f aca="false">Tabela54[[#This Row],[Kolumna322]]*Tabela54[[#This Row],[Kolumna63]]</f>
        <v>1280</v>
      </c>
      <c r="AN315" s="122"/>
      <c r="AO315" s="122" t="n">
        <f aca="false">Tabela54[[#This Row],[Kolumna5]]*Tabela54[[#This Row],[Kolumna63]]</f>
        <v>0</v>
      </c>
      <c r="AP315" s="53" t="n">
        <v>0.8</v>
      </c>
      <c r="AQ315" s="29" t="s">
        <v>243</v>
      </c>
      <c r="AR315" s="29" t="s">
        <v>244</v>
      </c>
      <c r="AS315" s="29" t="s">
        <v>243</v>
      </c>
      <c r="AT315" s="29"/>
    </row>
    <row r="316" customFormat="false" ht="30" hidden="false" customHeight="true" outlineLevel="0" collapsed="false">
      <c r="A316" s="25" t="n">
        <v>309</v>
      </c>
      <c r="B316" s="27" t="s">
        <v>241</v>
      </c>
      <c r="C316" s="49" t="s">
        <v>249</v>
      </c>
      <c r="D316" s="134"/>
      <c r="E316" s="135" t="n">
        <v>40</v>
      </c>
      <c r="F316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704.1723</v>
      </c>
      <c r="G316" s="135"/>
      <c r="H316" s="130"/>
      <c r="I316" s="115" t="n">
        <f aca="false">Tabela43[[#This Row],[Kolumna5]]*20700*0.27778</f>
        <v>0</v>
      </c>
      <c r="J316" s="130"/>
      <c r="K316" s="130"/>
      <c r="L316" s="28" t="n">
        <f aca="false">Tabela43[[#This Row],[Kolumna8]]*0.000843882*40190*0.27778</f>
        <v>0</v>
      </c>
      <c r="M316" s="130"/>
      <c r="N316" s="130"/>
      <c r="O316" s="28" t="n">
        <f aca="false">Tabela43[[#This Row],[Kolumna82]]*35.94*0.27778</f>
        <v>0</v>
      </c>
      <c r="P316" s="130"/>
      <c r="Q316" s="130"/>
      <c r="R316" s="130" t="n">
        <v>10</v>
      </c>
      <c r="S316" s="116" t="n">
        <f aca="false">Tabela43[[#This Row],[Kolumna92]]*0.65</f>
        <v>6.5</v>
      </c>
      <c r="T316" s="116" t="n">
        <f aca="false">Tabela43[[#This Row],[Kolumna10]]*15600*0.27778</f>
        <v>28166.892</v>
      </c>
      <c r="U316" s="130"/>
      <c r="V316" s="130"/>
      <c r="W316" s="130"/>
      <c r="X316" s="130"/>
      <c r="Y316" s="130" t="n">
        <f aca="false">Tabela43[[#This Row],[Kolumna1223]]*12</f>
        <v>0</v>
      </c>
      <c r="Z316" s="28" t="n">
        <v>2000</v>
      </c>
      <c r="AA316" s="125" t="n">
        <v>0</v>
      </c>
      <c r="AB316" s="125"/>
      <c r="AC316" s="125" t="n">
        <f aca="false">Tabela54[[#This Row],[Kolumna22]]*12</f>
        <v>0</v>
      </c>
      <c r="AD316" s="122"/>
      <c r="AE316" s="120" t="n">
        <f aca="false">Tabela54[[#This Row],[Kolumna23]]*Tabela54[[#This Row],[Kolumna63]]</f>
        <v>0</v>
      </c>
      <c r="AF316" s="120"/>
      <c r="AG316" s="122" t="n">
        <f aca="false">Tabela54[[#This Row],[Kolumna12]]*12</f>
        <v>0</v>
      </c>
      <c r="AH316" s="122"/>
      <c r="AI316" s="119" t="n">
        <f aca="false">Tabela54[[#This Row],[Kolumna223]]*Tabela54[[#This Row],[Kolumna63]]</f>
        <v>0</v>
      </c>
      <c r="AJ316" s="119"/>
      <c r="AK316" s="122" t="n">
        <f aca="false">Tabela54[[#This Row],[Kolumna34]]*12</f>
        <v>0</v>
      </c>
      <c r="AL316" s="122"/>
      <c r="AM316" s="119" t="n">
        <f aca="false">Tabela54[[#This Row],[Kolumna322]]*Tabela54[[#This Row],[Kolumna63]]</f>
        <v>0</v>
      </c>
      <c r="AN316" s="122"/>
      <c r="AO316" s="122" t="n">
        <f aca="false">Tabela54[[#This Row],[Kolumna5]]*Tabela54[[#This Row],[Kolumna63]]</f>
        <v>0</v>
      </c>
      <c r="AP316" s="53"/>
      <c r="AQ316" s="29" t="s">
        <v>243</v>
      </c>
      <c r="AR316" s="29" t="s">
        <v>243</v>
      </c>
      <c r="AS316" s="29" t="s">
        <v>243</v>
      </c>
      <c r="AT316" s="29"/>
    </row>
    <row r="317" customFormat="false" ht="30" hidden="false" customHeight="true" outlineLevel="0" collapsed="false">
      <c r="A317" s="25" t="n">
        <v>310</v>
      </c>
      <c r="B317" s="27" t="s">
        <v>241</v>
      </c>
      <c r="C317" s="49" t="s">
        <v>256</v>
      </c>
      <c r="D317" s="134"/>
      <c r="E317" s="135" t="n">
        <v>100</v>
      </c>
      <c r="F317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57.50046</v>
      </c>
      <c r="G317" s="135"/>
      <c r="H317" s="130" t="n">
        <v>1</v>
      </c>
      <c r="I317" s="115" t="n">
        <f aca="false">Tabela43[[#This Row],[Kolumna5]]*20700*0.27778</f>
        <v>5750.046</v>
      </c>
      <c r="J317" s="130"/>
      <c r="K317" s="130"/>
      <c r="L317" s="28" t="n">
        <f aca="false">Tabela43[[#This Row],[Kolumna8]]*0.000843882*40190*0.27778</f>
        <v>0</v>
      </c>
      <c r="M317" s="130"/>
      <c r="N317" s="130"/>
      <c r="O317" s="28" t="n">
        <f aca="false">Tabela43[[#This Row],[Kolumna82]]*35.94*0.27778</f>
        <v>0</v>
      </c>
      <c r="P317" s="130"/>
      <c r="Q317" s="130"/>
      <c r="R317" s="130"/>
      <c r="S317" s="116" t="n">
        <f aca="false">Tabela43[[#This Row],[Kolumna92]]*0.65</f>
        <v>0</v>
      </c>
      <c r="T317" s="116" t="n">
        <f aca="false">Tabela43[[#This Row],[Kolumna10]]*15600*0.27778</f>
        <v>0</v>
      </c>
      <c r="U317" s="130"/>
      <c r="V317" s="130"/>
      <c r="W317" s="130"/>
      <c r="X317" s="130"/>
      <c r="Y317" s="130" t="n">
        <f aca="false">Tabela43[[#This Row],[Kolumna1223]]*12</f>
        <v>0</v>
      </c>
      <c r="Z317" s="116"/>
      <c r="AA317" s="125" t="n">
        <v>0</v>
      </c>
      <c r="AB317" s="125"/>
      <c r="AC317" s="125" t="n">
        <f aca="false">Tabela54[[#This Row],[Kolumna22]]*12</f>
        <v>0</v>
      </c>
      <c r="AD317" s="122"/>
      <c r="AE317" s="120" t="n">
        <f aca="false">Tabela54[[#This Row],[Kolumna23]]*Tabela54[[#This Row],[Kolumna63]]</f>
        <v>0</v>
      </c>
      <c r="AF317" s="120"/>
      <c r="AG317" s="122" t="n">
        <f aca="false">Tabela54[[#This Row],[Kolumna12]]*12</f>
        <v>0</v>
      </c>
      <c r="AH317" s="122"/>
      <c r="AI317" s="119" t="n">
        <f aca="false">Tabela54[[#This Row],[Kolumna223]]*Tabela54[[#This Row],[Kolumna63]]</f>
        <v>0</v>
      </c>
      <c r="AJ317" s="119"/>
      <c r="AK317" s="122" t="n">
        <f aca="false">Tabela54[[#This Row],[Kolumna34]]*12</f>
        <v>0</v>
      </c>
      <c r="AL317" s="122"/>
      <c r="AM317" s="119" t="n">
        <f aca="false">Tabela54[[#This Row],[Kolumna322]]*Tabela54[[#This Row],[Kolumna63]]</f>
        <v>0</v>
      </c>
      <c r="AN317" s="122"/>
      <c r="AO317" s="122" t="n">
        <f aca="false">Tabela54[[#This Row],[Kolumna5]]*Tabela54[[#This Row],[Kolumna63]]</f>
        <v>0</v>
      </c>
      <c r="AP317" s="53"/>
      <c r="AQ317" s="29" t="s">
        <v>243</v>
      </c>
      <c r="AR317" s="29" t="s">
        <v>243</v>
      </c>
      <c r="AS317" s="29" t="s">
        <v>243</v>
      </c>
      <c r="AT317" s="29"/>
    </row>
    <row r="318" customFormat="false" ht="29.25" hidden="false" customHeight="true" outlineLevel="0" collapsed="false">
      <c r="A318" s="40" t="n">
        <v>311</v>
      </c>
      <c r="B318" s="27" t="s">
        <v>241</v>
      </c>
      <c r="C318" s="49" t="s">
        <v>256</v>
      </c>
      <c r="D318" s="134"/>
      <c r="E318" s="135" t="n">
        <v>120</v>
      </c>
      <c r="F318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469.4482</v>
      </c>
      <c r="G318" s="135"/>
      <c r="H318" s="130"/>
      <c r="I318" s="115" t="n">
        <f aca="false">Tabela43[[#This Row],[Kolumna5]]*20700*0.27778</f>
        <v>0</v>
      </c>
      <c r="J318" s="130"/>
      <c r="K318" s="130"/>
      <c r="L318" s="28" t="n">
        <f aca="false">Tabela43[[#This Row],[Kolumna8]]*0.000843882*40190*0.27778</f>
        <v>0</v>
      </c>
      <c r="M318" s="130"/>
      <c r="N318" s="130"/>
      <c r="O318" s="28" t="n">
        <f aca="false">Tabela43[[#This Row],[Kolumna82]]*35.94*0.27778</f>
        <v>0</v>
      </c>
      <c r="P318" s="130"/>
      <c r="Q318" s="130"/>
      <c r="R318" s="130" t="n">
        <v>20</v>
      </c>
      <c r="S318" s="116" t="n">
        <f aca="false">Tabela43[[#This Row],[Kolumna92]]*0.65</f>
        <v>13</v>
      </c>
      <c r="T318" s="116" t="n">
        <f aca="false">Tabela43[[#This Row],[Kolumna10]]*15600*0.27778</f>
        <v>56333.784</v>
      </c>
      <c r="U318" s="130"/>
      <c r="V318" s="130"/>
      <c r="W318" s="130"/>
      <c r="X318" s="130"/>
      <c r="Y318" s="130" t="n">
        <f aca="false">Tabela43[[#This Row],[Kolumna1223]]*12</f>
        <v>0</v>
      </c>
      <c r="Z318" s="28" t="n">
        <v>2000</v>
      </c>
      <c r="AA318" s="125" t="n">
        <v>2</v>
      </c>
      <c r="AB318" s="125"/>
      <c r="AC318" s="125" t="n">
        <f aca="false">Tabela54[[#This Row],[Kolumna22]]*12</f>
        <v>0</v>
      </c>
      <c r="AD318" s="122" t="n">
        <v>1500</v>
      </c>
      <c r="AE318" s="120" t="n">
        <f aca="false">Tabela54[[#This Row],[Kolumna23]]*Tabela54[[#This Row],[Kolumna63]]</f>
        <v>750</v>
      </c>
      <c r="AF318" s="120"/>
      <c r="AG318" s="122" t="n">
        <f aca="false">Tabela54[[#This Row],[Kolumna12]]*12</f>
        <v>0</v>
      </c>
      <c r="AH318" s="122"/>
      <c r="AI318" s="119" t="n">
        <f aca="false">Tabela54[[#This Row],[Kolumna223]]*Tabela54[[#This Row],[Kolumna63]]</f>
        <v>0</v>
      </c>
      <c r="AJ318" s="119"/>
      <c r="AK318" s="122" t="n">
        <f aca="false">Tabela54[[#This Row],[Kolumna34]]*12</f>
        <v>0</v>
      </c>
      <c r="AL318" s="122"/>
      <c r="AM318" s="119" t="n">
        <f aca="false">Tabela54[[#This Row],[Kolumna322]]*Tabela54[[#This Row],[Kolumna63]]</f>
        <v>0</v>
      </c>
      <c r="AN318" s="122"/>
      <c r="AO318" s="122" t="n">
        <f aca="false">Tabela54[[#This Row],[Kolumna5]]*Tabela54[[#This Row],[Kolumna63]]</f>
        <v>0</v>
      </c>
      <c r="AP318" s="53" t="n">
        <v>0.5</v>
      </c>
      <c r="AQ318" s="29" t="s">
        <v>243</v>
      </c>
      <c r="AR318" s="29" t="s">
        <v>244</v>
      </c>
      <c r="AS318" s="29" t="s">
        <v>243</v>
      </c>
      <c r="AT318" s="29"/>
    </row>
    <row r="319" customFormat="false" ht="30.75" hidden="false" customHeight="true" outlineLevel="0" collapsed="false">
      <c r="A319" s="25" t="n">
        <v>312</v>
      </c>
      <c r="B319" s="27" t="s">
        <v>241</v>
      </c>
      <c r="C319" s="49" t="s">
        <v>256</v>
      </c>
      <c r="D319" s="134"/>
      <c r="E319" s="135" t="n">
        <v>152</v>
      </c>
      <c r="F319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111.1851</v>
      </c>
      <c r="G319" s="135"/>
      <c r="H319" s="130"/>
      <c r="I319" s="115" t="n">
        <f aca="false">Tabela43[[#This Row],[Kolumna5]]*20700*0.27778</f>
        <v>0</v>
      </c>
      <c r="J319" s="130"/>
      <c r="K319" s="130"/>
      <c r="L319" s="28" t="n">
        <f aca="false">Tabela43[[#This Row],[Kolumna8]]*0.000843882*40190*0.27778</f>
        <v>0</v>
      </c>
      <c r="M319" s="130"/>
      <c r="N319" s="130"/>
      <c r="O319" s="28" t="n">
        <f aca="false">Tabela43[[#This Row],[Kolumna82]]*35.94*0.27778</f>
        <v>0</v>
      </c>
      <c r="P319" s="130"/>
      <c r="Q319" s="130"/>
      <c r="R319" s="130" t="n">
        <v>6</v>
      </c>
      <c r="S319" s="116" t="n">
        <f aca="false">Tabela43[[#This Row],[Kolumna92]]*0.65</f>
        <v>3.9</v>
      </c>
      <c r="T319" s="116" t="n">
        <f aca="false">Tabela43[[#This Row],[Kolumna10]]*15600*0.27778</f>
        <v>16900.1352</v>
      </c>
      <c r="U319" s="130"/>
      <c r="V319" s="130"/>
      <c r="W319" s="130"/>
      <c r="X319" s="130"/>
      <c r="Y319" s="130" t="n">
        <f aca="false">Tabela43[[#This Row],[Kolumna1223]]*12</f>
        <v>0</v>
      </c>
      <c r="Z319" s="28" t="n">
        <v>1450</v>
      </c>
      <c r="AA319" s="125" t="n">
        <v>1</v>
      </c>
      <c r="AB319" s="125"/>
      <c r="AC319" s="125" t="n">
        <f aca="false">Tabela54[[#This Row],[Kolumna22]]*12</f>
        <v>0</v>
      </c>
      <c r="AD319" s="122"/>
      <c r="AE319" s="120" t="n">
        <f aca="false">Tabela54[[#This Row],[Kolumna23]]*Tabela54[[#This Row],[Kolumna63]]</f>
        <v>0</v>
      </c>
      <c r="AF319" s="120"/>
      <c r="AG319" s="122" t="n">
        <f aca="false">Tabela54[[#This Row],[Kolumna12]]*12</f>
        <v>0</v>
      </c>
      <c r="AH319" s="122"/>
      <c r="AI319" s="119" t="n">
        <f aca="false">Tabela54[[#This Row],[Kolumna223]]*Tabela54[[#This Row],[Kolumna63]]</f>
        <v>0</v>
      </c>
      <c r="AJ319" s="119"/>
      <c r="AK319" s="122" t="n">
        <f aca="false">Tabela54[[#This Row],[Kolumna34]]*12</f>
        <v>0</v>
      </c>
      <c r="AL319" s="122" t="n">
        <v>650</v>
      </c>
      <c r="AM319" s="119" t="n">
        <f aca="false">Tabela54[[#This Row],[Kolumna322]]*Tabela54[[#This Row],[Kolumna63]]</f>
        <v>162.5</v>
      </c>
      <c r="AN319" s="122"/>
      <c r="AO319" s="122" t="n">
        <f aca="false">Tabela54[[#This Row],[Kolumna5]]*Tabela54[[#This Row],[Kolumna63]]</f>
        <v>0</v>
      </c>
      <c r="AP319" s="53" t="n">
        <v>0.25</v>
      </c>
      <c r="AQ319" s="29" t="s">
        <v>243</v>
      </c>
      <c r="AR319" s="29" t="s">
        <v>244</v>
      </c>
      <c r="AS319" s="29" t="s">
        <v>243</v>
      </c>
      <c r="AT319" s="29"/>
    </row>
    <row r="320" customFormat="false" ht="33.75" hidden="false" customHeight="true" outlineLevel="0" collapsed="false">
      <c r="A320" s="25" t="n">
        <v>313</v>
      </c>
      <c r="B320" s="27" t="s">
        <v>241</v>
      </c>
      <c r="C320" s="49" t="s">
        <v>257</v>
      </c>
      <c r="D320" s="134"/>
      <c r="E320" s="135" t="n">
        <v>70</v>
      </c>
      <c r="F320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566.6712</v>
      </c>
      <c r="G320" s="135"/>
      <c r="H320" s="130" t="n">
        <v>2</v>
      </c>
      <c r="I320" s="115" t="n">
        <f aca="false">Tabela43[[#This Row],[Kolumna5]]*20700*0.27778</f>
        <v>11500.092</v>
      </c>
      <c r="J320" s="130"/>
      <c r="K320" s="130"/>
      <c r="L320" s="28" t="n">
        <f aca="false">Tabela43[[#This Row],[Kolumna8]]*0.000843882*40190*0.27778</f>
        <v>0</v>
      </c>
      <c r="M320" s="130"/>
      <c r="N320" s="130"/>
      <c r="O320" s="28" t="n">
        <f aca="false">Tabela43[[#This Row],[Kolumna82]]*35.94*0.27778</f>
        <v>0</v>
      </c>
      <c r="P320" s="130"/>
      <c r="Q320" s="130"/>
      <c r="R320" s="130" t="n">
        <v>10</v>
      </c>
      <c r="S320" s="116" t="n">
        <f aca="false">Tabela43[[#This Row],[Kolumna92]]*0.65</f>
        <v>6.5</v>
      </c>
      <c r="T320" s="116" t="n">
        <f aca="false">Tabela43[[#This Row],[Kolumna10]]*15600*0.27778</f>
        <v>28166.892</v>
      </c>
      <c r="U320" s="130"/>
      <c r="V320" s="130"/>
      <c r="W320" s="130"/>
      <c r="X320" s="130"/>
      <c r="Y320" s="130" t="n">
        <f aca="false">Tabela43[[#This Row],[Kolumna1223]]*12</f>
        <v>0</v>
      </c>
      <c r="Z320" s="28" t="n">
        <v>1080</v>
      </c>
      <c r="AA320" s="125" t="n">
        <v>1</v>
      </c>
      <c r="AB320" s="125"/>
      <c r="AC320" s="125" t="n">
        <f aca="false">Tabela54[[#This Row],[Kolumna22]]*12</f>
        <v>0</v>
      </c>
      <c r="AD320" s="122" t="n">
        <v>1200</v>
      </c>
      <c r="AE320" s="120" t="n">
        <f aca="false">Tabela54[[#This Row],[Kolumna23]]*Tabela54[[#This Row],[Kolumna63]]</f>
        <v>840</v>
      </c>
      <c r="AF320" s="120"/>
      <c r="AG320" s="122" t="n">
        <f aca="false">Tabela54[[#This Row],[Kolumna12]]*12</f>
        <v>0</v>
      </c>
      <c r="AH320" s="122"/>
      <c r="AI320" s="119" t="n">
        <f aca="false">Tabela54[[#This Row],[Kolumna223]]*Tabela54[[#This Row],[Kolumna63]]</f>
        <v>0</v>
      </c>
      <c r="AJ320" s="119"/>
      <c r="AK320" s="122" t="n">
        <f aca="false">Tabela54[[#This Row],[Kolumna34]]*12</f>
        <v>0</v>
      </c>
      <c r="AL320" s="122"/>
      <c r="AM320" s="119" t="n">
        <f aca="false">Tabela54[[#This Row],[Kolumna322]]*Tabela54[[#This Row],[Kolumna63]]</f>
        <v>0</v>
      </c>
      <c r="AN320" s="122"/>
      <c r="AO320" s="122" t="n">
        <f aca="false">Tabela54[[#This Row],[Kolumna5]]*Tabela54[[#This Row],[Kolumna63]]</f>
        <v>0</v>
      </c>
      <c r="AP320" s="53" t="n">
        <v>0.7</v>
      </c>
      <c r="AQ320" s="29" t="s">
        <v>243</v>
      </c>
      <c r="AR320" s="29" t="s">
        <v>244</v>
      </c>
      <c r="AS320" s="29" t="s">
        <v>243</v>
      </c>
      <c r="AT320" s="29"/>
    </row>
    <row r="321" customFormat="false" ht="30" hidden="false" customHeight="true" outlineLevel="0" collapsed="false">
      <c r="A321" s="40" t="n">
        <v>314</v>
      </c>
      <c r="B321" s="27" t="s">
        <v>241</v>
      </c>
      <c r="C321" s="49" t="s">
        <v>256</v>
      </c>
      <c r="D321" s="134"/>
      <c r="E321" s="135" t="n">
        <v>150</v>
      </c>
      <c r="F321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187.77928</v>
      </c>
      <c r="G321" s="135"/>
      <c r="H321" s="130"/>
      <c r="I321" s="115" t="n">
        <f aca="false">Tabela43[[#This Row],[Kolumna5]]*20700*0.27778</f>
        <v>0</v>
      </c>
      <c r="J321" s="130"/>
      <c r="K321" s="130"/>
      <c r="L321" s="28" t="n">
        <f aca="false">Tabela43[[#This Row],[Kolumna8]]*0.000843882*40190*0.27778</f>
        <v>0</v>
      </c>
      <c r="M321" s="130"/>
      <c r="N321" s="130"/>
      <c r="O321" s="28" t="n">
        <f aca="false">Tabela43[[#This Row],[Kolumna82]]*35.94*0.27778</f>
        <v>0</v>
      </c>
      <c r="P321" s="130"/>
      <c r="Q321" s="130"/>
      <c r="R321" s="130" t="n">
        <v>10</v>
      </c>
      <c r="S321" s="116" t="n">
        <f aca="false">Tabela43[[#This Row],[Kolumna92]]*0.65</f>
        <v>6.5</v>
      </c>
      <c r="T321" s="116" t="n">
        <f aca="false">Tabela43[[#This Row],[Kolumna10]]*15600*0.27778</f>
        <v>28166.892</v>
      </c>
      <c r="U321" s="130"/>
      <c r="V321" s="130"/>
      <c r="W321" s="130"/>
      <c r="X321" s="130"/>
      <c r="Y321" s="130" t="n">
        <f aca="false">Tabela43[[#This Row],[Kolumna1223]]*12</f>
        <v>0</v>
      </c>
      <c r="Z321" s="116"/>
      <c r="AA321" s="125" t="n">
        <v>1</v>
      </c>
      <c r="AB321" s="125"/>
      <c r="AC321" s="125" t="n">
        <f aca="false">Tabela54[[#This Row],[Kolumna22]]*12</f>
        <v>0</v>
      </c>
      <c r="AD321" s="122"/>
      <c r="AE321" s="120" t="n">
        <f aca="false">Tabela54[[#This Row],[Kolumna23]]*Tabela54[[#This Row],[Kolumna63]]</f>
        <v>0</v>
      </c>
      <c r="AF321" s="120"/>
      <c r="AG321" s="122" t="n">
        <f aca="false">Tabela54[[#This Row],[Kolumna12]]*12</f>
        <v>0</v>
      </c>
      <c r="AH321" s="122" t="n">
        <v>1000</v>
      </c>
      <c r="AI321" s="119" t="n">
        <f aca="false">Tabela54[[#This Row],[Kolumna223]]*Tabela54[[#This Row],[Kolumna63]]</f>
        <v>600</v>
      </c>
      <c r="AJ321" s="119"/>
      <c r="AK321" s="122" t="n">
        <f aca="false">Tabela54[[#This Row],[Kolumna34]]*12</f>
        <v>0</v>
      </c>
      <c r="AL321" s="122"/>
      <c r="AM321" s="119" t="n">
        <f aca="false">Tabela54[[#This Row],[Kolumna322]]*Tabela54[[#This Row],[Kolumna63]]</f>
        <v>0</v>
      </c>
      <c r="AN321" s="122"/>
      <c r="AO321" s="122" t="n">
        <f aca="false">Tabela54[[#This Row],[Kolumna5]]*Tabela54[[#This Row],[Kolumna63]]</f>
        <v>0</v>
      </c>
      <c r="AP321" s="53" t="n">
        <v>0.6</v>
      </c>
      <c r="AQ321" s="29" t="s">
        <v>243</v>
      </c>
      <c r="AR321" s="29" t="s">
        <v>243</v>
      </c>
      <c r="AS321" s="29" t="s">
        <v>243</v>
      </c>
      <c r="AT321" s="29"/>
    </row>
    <row r="322" customFormat="false" ht="30" hidden="false" customHeight="true" outlineLevel="0" collapsed="false">
      <c r="A322" s="25" t="n">
        <v>315</v>
      </c>
      <c r="B322" s="27" t="s">
        <v>241</v>
      </c>
      <c r="C322" s="49" t="s">
        <v>256</v>
      </c>
      <c r="D322" s="134"/>
      <c r="E322" s="135" t="n">
        <v>280</v>
      </c>
      <c r="F322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136.012892857143</v>
      </c>
      <c r="G322" s="135"/>
      <c r="H322" s="130" t="n">
        <v>3</v>
      </c>
      <c r="I322" s="115" t="n">
        <f aca="false">Tabela43[[#This Row],[Kolumna5]]*20700*0.27778</f>
        <v>17250.138</v>
      </c>
      <c r="J322" s="130"/>
      <c r="K322" s="130"/>
      <c r="L322" s="28" t="n">
        <f aca="false">Tabela43[[#This Row],[Kolumna8]]*0.000843882*40190*0.27778</f>
        <v>0</v>
      </c>
      <c r="M322" s="130"/>
      <c r="N322" s="130"/>
      <c r="O322" s="28" t="n">
        <f aca="false">Tabela43[[#This Row],[Kolumna82]]*35.94*0.27778</f>
        <v>0</v>
      </c>
      <c r="P322" s="130"/>
      <c r="Q322" s="130"/>
      <c r="R322" s="130"/>
      <c r="S322" s="116" t="n">
        <v>4</v>
      </c>
      <c r="T322" s="116" t="n">
        <f aca="false">Tabela43[[#This Row],[Kolumna10]]*15600*0.27778</f>
        <v>17333.472</v>
      </c>
      <c r="U322" s="130"/>
      <c r="V322" s="130"/>
      <c r="W322" s="130"/>
      <c r="X322" s="130"/>
      <c r="Y322" s="130" t="n">
        <v>3500</v>
      </c>
      <c r="Z322" s="28" t="n">
        <f aca="false">Tabela43[[#This Row],[Kolumna123]]/0.55</f>
        <v>6363.63636363636</v>
      </c>
      <c r="AA322" s="125" t="n">
        <v>2</v>
      </c>
      <c r="AB322" s="125"/>
      <c r="AC322" s="125" t="n">
        <f aca="false">Tabela54[[#This Row],[Kolumna22]]*12</f>
        <v>0</v>
      </c>
      <c r="AD322" s="122"/>
      <c r="AE322" s="120" t="n">
        <f aca="false">Tabela54[[#This Row],[Kolumna23]]*Tabela54[[#This Row],[Kolumna63]]</f>
        <v>0</v>
      </c>
      <c r="AF322" s="120"/>
      <c r="AG322" s="122" t="n">
        <f aca="false">Tabela54[[#This Row],[Kolumna12]]*12</f>
        <v>0</v>
      </c>
      <c r="AH322" s="122"/>
      <c r="AI322" s="119" t="n">
        <f aca="false">Tabela54[[#This Row],[Kolumna223]]*Tabela54[[#This Row],[Kolumna63]]</f>
        <v>0</v>
      </c>
      <c r="AJ322" s="119"/>
      <c r="AK322" s="122" t="n">
        <f aca="false">Tabela54[[#This Row],[Kolumna34]]*12</f>
        <v>0</v>
      </c>
      <c r="AL322" s="122" t="n">
        <v>900</v>
      </c>
      <c r="AM322" s="119" t="n">
        <f aca="false">Tabela54[[#This Row],[Kolumna322]]*Tabela54[[#This Row],[Kolumna63]]</f>
        <v>180</v>
      </c>
      <c r="AN322" s="122"/>
      <c r="AO322" s="122" t="n">
        <f aca="false">Tabela54[[#This Row],[Kolumna5]]*Tabela54[[#This Row],[Kolumna63]]</f>
        <v>0</v>
      </c>
      <c r="AP322" s="53" t="n">
        <v>0.2</v>
      </c>
      <c r="AQ322" s="29" t="s">
        <v>243</v>
      </c>
      <c r="AR322" s="29" t="s">
        <v>244</v>
      </c>
      <c r="AS322" s="29" t="s">
        <v>243</v>
      </c>
      <c r="AT322" s="29"/>
    </row>
    <row r="323" customFormat="false" ht="32.25" hidden="false" customHeight="true" outlineLevel="0" collapsed="false">
      <c r="A323" s="25" t="n">
        <v>316</v>
      </c>
      <c r="B323" s="27" t="s">
        <v>241</v>
      </c>
      <c r="C323" s="49" t="s">
        <v>256</v>
      </c>
      <c r="D323" s="134"/>
      <c r="E323" s="135" t="n">
        <v>80</v>
      </c>
      <c r="F323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1243.4474475</v>
      </c>
      <c r="G323" s="135"/>
      <c r="H323" s="130"/>
      <c r="I323" s="115" t="n">
        <f aca="false">Tabela43[[#This Row],[Kolumna5]]*20700*0.27778</f>
        <v>0</v>
      </c>
      <c r="J323" s="130"/>
      <c r="K323" s="130"/>
      <c r="L323" s="28" t="n">
        <f aca="false">Tabela43[[#This Row],[Kolumna8]]*0.000843882*40190*0.27778</f>
        <v>0</v>
      </c>
      <c r="M323" s="130"/>
      <c r="N323" s="130" t="n">
        <v>1500</v>
      </c>
      <c r="O323" s="28" t="n">
        <f aca="false">Tabela43[[#This Row],[Kolumna82]]*35.94*0.27778</f>
        <v>14975.1198</v>
      </c>
      <c r="P323" s="130"/>
      <c r="Q323" s="130"/>
      <c r="R323" s="130" t="n">
        <v>30</v>
      </c>
      <c r="S323" s="116" t="n">
        <f aca="false">Tabela43[[#This Row],[Kolumna92]]*0.65</f>
        <v>19.5</v>
      </c>
      <c r="T323" s="116" t="n">
        <f aca="false">Tabela43[[#This Row],[Kolumna10]]*15600*0.27778</f>
        <v>84500.676</v>
      </c>
      <c r="U323" s="130"/>
      <c r="V323" s="130"/>
      <c r="W323" s="130"/>
      <c r="X323" s="130"/>
      <c r="Y323" s="130" t="n">
        <f aca="false">Tabela43[[#This Row],[Kolumna1223]]*12</f>
        <v>0</v>
      </c>
      <c r="Z323" s="28" t="n">
        <v>6000</v>
      </c>
      <c r="AA323" s="125" t="n">
        <v>1</v>
      </c>
      <c r="AB323" s="125"/>
      <c r="AC323" s="125" t="n">
        <f aca="false">Tabela54[[#This Row],[Kolumna22]]*12</f>
        <v>0</v>
      </c>
      <c r="AD323" s="122" t="n">
        <v>600</v>
      </c>
      <c r="AE323" s="120" t="n">
        <f aca="false">Tabela54[[#This Row],[Kolumna23]]*Tabela54[[#This Row],[Kolumna63]]</f>
        <v>480</v>
      </c>
      <c r="AF323" s="120"/>
      <c r="AG323" s="122" t="n">
        <f aca="false">Tabela54[[#This Row],[Kolumna12]]*12</f>
        <v>0</v>
      </c>
      <c r="AH323" s="122"/>
      <c r="AI323" s="119" t="n">
        <f aca="false">Tabela54[[#This Row],[Kolumna223]]*Tabela54[[#This Row],[Kolumna63]]</f>
        <v>0</v>
      </c>
      <c r="AJ323" s="119"/>
      <c r="AK323" s="122" t="n">
        <f aca="false">Tabela54[[#This Row],[Kolumna34]]*12</f>
        <v>0</v>
      </c>
      <c r="AL323" s="122"/>
      <c r="AM323" s="119" t="n">
        <f aca="false">Tabela54[[#This Row],[Kolumna322]]*Tabela54[[#This Row],[Kolumna63]]</f>
        <v>0</v>
      </c>
      <c r="AN323" s="122"/>
      <c r="AO323" s="122" t="n">
        <f aca="false">Tabela54[[#This Row],[Kolumna5]]*Tabela54[[#This Row],[Kolumna63]]</f>
        <v>0</v>
      </c>
      <c r="AP323" s="53" t="n">
        <v>0.8</v>
      </c>
      <c r="AQ323" s="29" t="s">
        <v>243</v>
      </c>
      <c r="AR323" s="29" t="s">
        <v>244</v>
      </c>
      <c r="AS323" s="29" t="s">
        <v>243</v>
      </c>
      <c r="AT323" s="29"/>
    </row>
    <row r="324" customFormat="false" ht="32.25" hidden="false" customHeight="true" outlineLevel="0" collapsed="false">
      <c r="A324" s="40" t="n">
        <v>317</v>
      </c>
      <c r="B324" s="27" t="s">
        <v>241</v>
      </c>
      <c r="C324" s="49" t="s">
        <v>256</v>
      </c>
      <c r="D324" s="134"/>
      <c r="E324" s="135" t="n">
        <v>80</v>
      </c>
      <c r="F324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598.546455</v>
      </c>
      <c r="G324" s="135"/>
      <c r="H324" s="130"/>
      <c r="I324" s="115" t="n">
        <f aca="false">Tabela43[[#This Row],[Kolumna5]]*20700*0.27778</f>
        <v>0</v>
      </c>
      <c r="J324" s="130"/>
      <c r="K324" s="130"/>
      <c r="L324" s="28" t="n">
        <f aca="false">Tabela43[[#This Row],[Kolumna8]]*0.000843882*40190*0.27778</f>
        <v>0</v>
      </c>
      <c r="M324" s="130"/>
      <c r="N324" s="130"/>
      <c r="O324" s="28" t="n">
        <f aca="false">Tabela43[[#This Row],[Kolumna82]]*35.94*0.27778</f>
        <v>0</v>
      </c>
      <c r="P324" s="130"/>
      <c r="Q324" s="130"/>
      <c r="R324" s="130" t="n">
        <v>17</v>
      </c>
      <c r="S324" s="116" t="n">
        <f aca="false">Tabela43[[#This Row],[Kolumna92]]*0.65</f>
        <v>11.05</v>
      </c>
      <c r="T324" s="116" t="n">
        <f aca="false">Tabela43[[#This Row],[Kolumna10]]*15600*0.27778</f>
        <v>47883.7164</v>
      </c>
      <c r="U324" s="130"/>
      <c r="V324" s="130"/>
      <c r="W324" s="130"/>
      <c r="X324" s="130"/>
      <c r="Y324" s="130" t="n">
        <f aca="false">Tabela43[[#This Row],[Kolumna1223]]*12</f>
        <v>0</v>
      </c>
      <c r="Z324" s="116"/>
      <c r="AA324" s="125" t="n">
        <v>1</v>
      </c>
      <c r="AB324" s="125"/>
      <c r="AC324" s="125" t="n">
        <f aca="false">Tabela54[[#This Row],[Kolumna22]]*12</f>
        <v>0</v>
      </c>
      <c r="AD324" s="122"/>
      <c r="AE324" s="120" t="n">
        <f aca="false">Tabela54[[#This Row],[Kolumna23]]*Tabela54[[#This Row],[Kolumna63]]</f>
        <v>0</v>
      </c>
      <c r="AF324" s="120"/>
      <c r="AG324" s="122" t="n">
        <f aca="false">Tabela54[[#This Row],[Kolumna12]]*12</f>
        <v>0</v>
      </c>
      <c r="AH324" s="122"/>
      <c r="AI324" s="119" t="n">
        <f aca="false">Tabela54[[#This Row],[Kolumna223]]*Tabela54[[#This Row],[Kolumna63]]</f>
        <v>0</v>
      </c>
      <c r="AJ324" s="119"/>
      <c r="AK324" s="122" t="n">
        <f aca="false">Tabela54[[#This Row],[Kolumna34]]*12</f>
        <v>0</v>
      </c>
      <c r="AL324" s="122"/>
      <c r="AM324" s="119" t="n">
        <f aca="false">Tabela54[[#This Row],[Kolumna322]]*Tabela54[[#This Row],[Kolumna63]]</f>
        <v>0</v>
      </c>
      <c r="AN324" s="122" t="n">
        <v>800</v>
      </c>
      <c r="AO324" s="122" t="n">
        <f aca="false">Tabela54[[#This Row],[Kolumna5]]*Tabela54[[#This Row],[Kolumna63]]</f>
        <v>800</v>
      </c>
      <c r="AP324" s="53" t="n">
        <v>1</v>
      </c>
      <c r="AQ324" s="29" t="s">
        <v>243</v>
      </c>
      <c r="AR324" s="29" t="s">
        <v>243</v>
      </c>
      <c r="AS324" s="29" t="s">
        <v>243</v>
      </c>
      <c r="AT324" s="29"/>
    </row>
    <row r="325" customFormat="false" ht="30.75" hidden="false" customHeight="true" outlineLevel="0" collapsed="false">
      <c r="A325" s="25" t="n">
        <v>318</v>
      </c>
      <c r="B325" s="27" t="s">
        <v>241</v>
      </c>
      <c r="C325" s="49" t="s">
        <v>256</v>
      </c>
      <c r="D325" s="134"/>
      <c r="E325" s="135" t="n">
        <v>152</v>
      </c>
      <c r="F325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120.724573684211</v>
      </c>
      <c r="G325" s="135"/>
      <c r="H325" s="130"/>
      <c r="I325" s="115" t="n">
        <f aca="false">Tabela43[[#This Row],[Kolumna5]]*20700*0.27778</f>
        <v>0</v>
      </c>
      <c r="J325" s="130"/>
      <c r="K325" s="130"/>
      <c r="L325" s="28" t="n">
        <f aca="false">Tabela43[[#This Row],[Kolumna8]]*0.000843882*40190*0.27778</f>
        <v>0</v>
      </c>
      <c r="M325" s="130"/>
      <c r="N325" s="130"/>
      <c r="O325" s="28" t="n">
        <f aca="false">Tabela43[[#This Row],[Kolumna82]]*35.94*0.27778</f>
        <v>0</v>
      </c>
      <c r="P325" s="130"/>
      <c r="Q325" s="130"/>
      <c r="R325" s="130" t="n">
        <v>6</v>
      </c>
      <c r="S325" s="116" t="n">
        <f aca="false">Tabela43[[#This Row],[Kolumna92]]*0.65</f>
        <v>3.9</v>
      </c>
      <c r="T325" s="116" t="n">
        <f aca="false">Tabela43[[#This Row],[Kolumna10]]*15600*0.27778</f>
        <v>16900.1352</v>
      </c>
      <c r="U325" s="130"/>
      <c r="V325" s="130"/>
      <c r="W325" s="130"/>
      <c r="X325" s="130"/>
      <c r="Y325" s="130" t="n">
        <v>1450</v>
      </c>
      <c r="Z325" s="28" t="n">
        <f aca="false">Tabela43[[#This Row],[Kolumna123]]/0.55</f>
        <v>2636.36363636364</v>
      </c>
      <c r="AA325" s="125" t="n">
        <v>1</v>
      </c>
      <c r="AB325" s="125"/>
      <c r="AC325" s="125" t="n">
        <f aca="false">Tabela54[[#This Row],[Kolumna22]]*12</f>
        <v>0</v>
      </c>
      <c r="AD325" s="122"/>
      <c r="AE325" s="120" t="n">
        <f aca="false">Tabela54[[#This Row],[Kolumna23]]*Tabela54[[#This Row],[Kolumna63]]</f>
        <v>0</v>
      </c>
      <c r="AF325" s="120"/>
      <c r="AG325" s="122" t="n">
        <f aca="false">Tabela54[[#This Row],[Kolumna12]]*12</f>
        <v>0</v>
      </c>
      <c r="AH325" s="122"/>
      <c r="AI325" s="119" t="n">
        <f aca="false">Tabela54[[#This Row],[Kolumna223]]*Tabela54[[#This Row],[Kolumna63]]</f>
        <v>0</v>
      </c>
      <c r="AJ325" s="119"/>
      <c r="AK325" s="122" t="n">
        <f aca="false">Tabela54[[#This Row],[Kolumna34]]*12</f>
        <v>0</v>
      </c>
      <c r="AL325" s="122" t="n">
        <v>650</v>
      </c>
      <c r="AM325" s="119" t="n">
        <f aca="false">Tabela54[[#This Row],[Kolumna322]]*Tabela54[[#This Row],[Kolumna63]]</f>
        <v>162.5</v>
      </c>
      <c r="AN325" s="122"/>
      <c r="AO325" s="122" t="n">
        <f aca="false">Tabela54[[#This Row],[Kolumna5]]*Tabela54[[#This Row],[Kolumna63]]</f>
        <v>0</v>
      </c>
      <c r="AP325" s="53" t="n">
        <v>0.25</v>
      </c>
      <c r="AQ325" s="29" t="s">
        <v>243</v>
      </c>
      <c r="AR325" s="29" t="s">
        <v>244</v>
      </c>
      <c r="AS325" s="29" t="s">
        <v>243</v>
      </c>
      <c r="AT325" s="29"/>
    </row>
    <row r="326" customFormat="false" ht="30" hidden="false" customHeight="true" outlineLevel="0" collapsed="false">
      <c r="A326" s="25" t="n">
        <v>319</v>
      </c>
      <c r="B326" s="27" t="s">
        <v>241</v>
      </c>
      <c r="C326" s="49" t="s">
        <v>256</v>
      </c>
      <c r="D326" s="134"/>
      <c r="E326" s="135" t="n">
        <v>200</v>
      </c>
      <c r="F326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281.66892</v>
      </c>
      <c r="G326" s="135"/>
      <c r="H326" s="130"/>
      <c r="I326" s="115" t="n">
        <f aca="false">Tabela43[[#This Row],[Kolumna5]]*20700*0.27778</f>
        <v>0</v>
      </c>
      <c r="J326" s="130"/>
      <c r="K326" s="130"/>
      <c r="L326" s="28" t="n">
        <f aca="false">Tabela43[[#This Row],[Kolumna8]]*0.000843882*40190*0.27778</f>
        <v>0</v>
      </c>
      <c r="M326" s="130"/>
      <c r="N326" s="130"/>
      <c r="O326" s="28" t="n">
        <f aca="false">Tabela43[[#This Row],[Kolumna82]]*35.94*0.27778</f>
        <v>0</v>
      </c>
      <c r="P326" s="130"/>
      <c r="Q326" s="130"/>
      <c r="R326" s="130" t="n">
        <v>20</v>
      </c>
      <c r="S326" s="116" t="n">
        <f aca="false">Tabela43[[#This Row],[Kolumna92]]*0.65</f>
        <v>13</v>
      </c>
      <c r="T326" s="116" t="n">
        <f aca="false">Tabela43[[#This Row],[Kolumna10]]*15600*0.27778</f>
        <v>56333.784</v>
      </c>
      <c r="U326" s="130"/>
      <c r="V326" s="130"/>
      <c r="W326" s="130"/>
      <c r="X326" s="130"/>
      <c r="Y326" s="130" t="n">
        <f aca="false">Tabela43[[#This Row],[Kolumna1223]]*12</f>
        <v>0</v>
      </c>
      <c r="Z326" s="116" t="n">
        <v>1000</v>
      </c>
      <c r="AA326" s="125" t="n">
        <v>2</v>
      </c>
      <c r="AB326" s="125"/>
      <c r="AC326" s="125" t="n">
        <f aca="false">Tabela54[[#This Row],[Kolumna22]]*12</f>
        <v>0</v>
      </c>
      <c r="AD326" s="122" t="n">
        <v>200</v>
      </c>
      <c r="AE326" s="120" t="n">
        <f aca="false">Tabela54[[#This Row],[Kolumna23]]*Tabela54[[#This Row],[Kolumna63]]</f>
        <v>140</v>
      </c>
      <c r="AF326" s="120"/>
      <c r="AG326" s="122" t="n">
        <f aca="false">Tabela54[[#This Row],[Kolumna12]]*12</f>
        <v>0</v>
      </c>
      <c r="AH326" s="122" t="n">
        <v>300</v>
      </c>
      <c r="AI326" s="119" t="n">
        <f aca="false">Tabela54[[#This Row],[Kolumna223]]*Tabela54[[#This Row],[Kolumna63]]</f>
        <v>210</v>
      </c>
      <c r="AJ326" s="119"/>
      <c r="AK326" s="122" t="n">
        <f aca="false">Tabela54[[#This Row],[Kolumna34]]*12</f>
        <v>0</v>
      </c>
      <c r="AL326" s="122" t="n">
        <v>200</v>
      </c>
      <c r="AM326" s="119" t="n">
        <f aca="false">Tabela54[[#This Row],[Kolumna322]]*Tabela54[[#This Row],[Kolumna63]]</f>
        <v>140</v>
      </c>
      <c r="AN326" s="122"/>
      <c r="AO326" s="122" t="n">
        <f aca="false">Tabela54[[#This Row],[Kolumna5]]*Tabela54[[#This Row],[Kolumna63]]</f>
        <v>0</v>
      </c>
      <c r="AP326" s="53" t="n">
        <v>0.7</v>
      </c>
      <c r="AQ326" s="29" t="s">
        <v>243</v>
      </c>
      <c r="AR326" s="29" t="s">
        <v>243</v>
      </c>
      <c r="AS326" s="29" t="s">
        <v>243</v>
      </c>
      <c r="AT326" s="29"/>
    </row>
    <row r="327" customFormat="false" ht="30.75" hidden="false" customHeight="true" outlineLevel="0" collapsed="false">
      <c r="A327" s="40" t="n">
        <v>320</v>
      </c>
      <c r="B327" s="27" t="s">
        <v>241</v>
      </c>
      <c r="C327" s="49" t="s">
        <v>256</v>
      </c>
      <c r="D327" s="134"/>
      <c r="E327" s="135" t="n">
        <v>80</v>
      </c>
      <c r="F327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742.297605</v>
      </c>
      <c r="G327" s="135"/>
      <c r="H327" s="130" t="n">
        <v>2</v>
      </c>
      <c r="I327" s="115" t="n">
        <f aca="false">Tabela43[[#This Row],[Kolumna5]]*20700*0.27778</f>
        <v>11500.092</v>
      </c>
      <c r="J327" s="130"/>
      <c r="K327" s="130"/>
      <c r="L327" s="28" t="n">
        <f aca="false">Tabela43[[#This Row],[Kolumna8]]*0.000843882*40190*0.27778</f>
        <v>0</v>
      </c>
      <c r="M327" s="130"/>
      <c r="N327" s="130"/>
      <c r="O327" s="28" t="n">
        <f aca="false">Tabela43[[#This Row],[Kolumna82]]*35.94*0.27778</f>
        <v>0</v>
      </c>
      <c r="P327" s="130"/>
      <c r="Q327" s="130"/>
      <c r="R327" s="130" t="n">
        <v>17</v>
      </c>
      <c r="S327" s="116" t="n">
        <f aca="false">Tabela43[[#This Row],[Kolumna92]]*0.65</f>
        <v>11.05</v>
      </c>
      <c r="T327" s="116" t="n">
        <f aca="false">Tabela43[[#This Row],[Kolumna10]]*15600*0.27778</f>
        <v>47883.7164</v>
      </c>
      <c r="U327" s="130"/>
      <c r="V327" s="130"/>
      <c r="W327" s="130"/>
      <c r="X327" s="130"/>
      <c r="Y327" s="130" t="n">
        <f aca="false">Tabela43[[#This Row],[Kolumna1223]]*12</f>
        <v>0</v>
      </c>
      <c r="Z327" s="116"/>
      <c r="AA327" s="125" t="n">
        <v>1</v>
      </c>
      <c r="AB327" s="125"/>
      <c r="AC327" s="125" t="n">
        <f aca="false">Tabela54[[#This Row],[Kolumna22]]*12</f>
        <v>0</v>
      </c>
      <c r="AD327" s="122"/>
      <c r="AE327" s="120" t="n">
        <f aca="false">Tabela54[[#This Row],[Kolumna23]]*Tabela54[[#This Row],[Kolumna63]]</f>
        <v>0</v>
      </c>
      <c r="AF327" s="120"/>
      <c r="AG327" s="122" t="n">
        <f aca="false">Tabela54[[#This Row],[Kolumna12]]*12</f>
        <v>0</v>
      </c>
      <c r="AH327" s="122"/>
      <c r="AI327" s="119" t="n">
        <f aca="false">Tabela54[[#This Row],[Kolumna223]]*Tabela54[[#This Row],[Kolumna63]]</f>
        <v>0</v>
      </c>
      <c r="AJ327" s="119"/>
      <c r="AK327" s="122" t="n">
        <f aca="false">Tabela54[[#This Row],[Kolumna34]]*12</f>
        <v>0</v>
      </c>
      <c r="AL327" s="122"/>
      <c r="AM327" s="119" t="n">
        <f aca="false">Tabela54[[#This Row],[Kolumna322]]*Tabela54[[#This Row],[Kolumna63]]</f>
        <v>0</v>
      </c>
      <c r="AN327" s="122" t="n">
        <v>800</v>
      </c>
      <c r="AO327" s="122" t="n">
        <f aca="false">Tabela54[[#This Row],[Kolumna5]]*Tabela54[[#This Row],[Kolumna63]]</f>
        <v>800</v>
      </c>
      <c r="AP327" s="53" t="n">
        <v>1</v>
      </c>
      <c r="AQ327" s="29" t="s">
        <v>243</v>
      </c>
      <c r="AR327" s="29" t="s">
        <v>243</v>
      </c>
      <c r="AS327" s="29" t="s">
        <v>243</v>
      </c>
      <c r="AT327" s="29"/>
    </row>
    <row r="328" customFormat="false" ht="30.75" hidden="false" customHeight="true" outlineLevel="0" collapsed="false">
      <c r="A328" s="25" t="n">
        <v>321</v>
      </c>
      <c r="B328" s="27" t="s">
        <v>241</v>
      </c>
      <c r="C328" s="49" t="s">
        <v>256</v>
      </c>
      <c r="D328" s="134"/>
      <c r="E328" s="135" t="n">
        <v>120</v>
      </c>
      <c r="F328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273.6132</v>
      </c>
      <c r="G328" s="135"/>
      <c r="H328" s="130" t="n">
        <v>3</v>
      </c>
      <c r="I328" s="115" t="n">
        <f aca="false">Tabela43[[#This Row],[Kolumna5]]*20700*0.27778</f>
        <v>17250.138</v>
      </c>
      <c r="J328" s="130"/>
      <c r="K328" s="130"/>
      <c r="L328" s="28" t="n">
        <f aca="false">Tabela43[[#This Row],[Kolumna8]]*0.000843882*40190*0.27778</f>
        <v>0</v>
      </c>
      <c r="M328" s="130"/>
      <c r="N328" s="130"/>
      <c r="O328" s="28" t="n">
        <f aca="false">Tabela43[[#This Row],[Kolumna82]]*35.94*0.27778</f>
        <v>0</v>
      </c>
      <c r="P328" s="130"/>
      <c r="Q328" s="130"/>
      <c r="R328" s="130" t="n">
        <v>5</v>
      </c>
      <c r="S328" s="116" t="n">
        <f aca="false">Tabela43[[#This Row],[Kolumna92]]*0.65</f>
        <v>3.25</v>
      </c>
      <c r="T328" s="116" t="n">
        <f aca="false">Tabela43[[#This Row],[Kolumna10]]*15600*0.27778</f>
        <v>14083.446</v>
      </c>
      <c r="U328" s="130"/>
      <c r="V328" s="130"/>
      <c r="W328" s="130"/>
      <c r="X328" s="130"/>
      <c r="Y328" s="130" t="n">
        <v>1500</v>
      </c>
      <c r="Z328" s="28" t="n">
        <f aca="false">Tabela43[[#This Row],[Kolumna123]]/0.55</f>
        <v>2727.27272727273</v>
      </c>
      <c r="AA328" s="125" t="n">
        <v>1</v>
      </c>
      <c r="AB328" s="125"/>
      <c r="AC328" s="125" t="n">
        <f aca="false">Tabela54[[#This Row],[Kolumna22]]*12</f>
        <v>0</v>
      </c>
      <c r="AD328" s="122"/>
      <c r="AE328" s="120" t="n">
        <f aca="false">Tabela54[[#This Row],[Kolumna23]]*Tabela54[[#This Row],[Kolumna63]]</f>
        <v>0</v>
      </c>
      <c r="AF328" s="120"/>
      <c r="AG328" s="122" t="n">
        <f aca="false">Tabela54[[#This Row],[Kolumna12]]*12</f>
        <v>0</v>
      </c>
      <c r="AH328" s="122"/>
      <c r="AI328" s="119" t="n">
        <f aca="false">Tabela54[[#This Row],[Kolumna223]]*Tabela54[[#This Row],[Kolumna63]]</f>
        <v>0</v>
      </c>
      <c r="AJ328" s="119"/>
      <c r="AK328" s="122" t="n">
        <f aca="false">Tabela54[[#This Row],[Kolumna34]]*12</f>
        <v>0</v>
      </c>
      <c r="AL328" s="122"/>
      <c r="AM328" s="119" t="n">
        <f aca="false">Tabela54[[#This Row],[Kolumna322]]*Tabela54[[#This Row],[Kolumna63]]</f>
        <v>0</v>
      </c>
      <c r="AN328" s="122" t="n">
        <v>800</v>
      </c>
      <c r="AO328" s="122" t="n">
        <f aca="false">Tabela54[[#This Row],[Kolumna5]]*Tabela54[[#This Row],[Kolumna63]]</f>
        <v>480</v>
      </c>
      <c r="AP328" s="53" t="n">
        <v>0.6</v>
      </c>
      <c r="AQ328" s="29" t="s">
        <v>243</v>
      </c>
      <c r="AR328" s="29" t="s">
        <v>244</v>
      </c>
      <c r="AS328" s="29" t="s">
        <v>243</v>
      </c>
      <c r="AT328" s="29"/>
    </row>
    <row r="329" customFormat="false" ht="33" hidden="false" customHeight="true" outlineLevel="0" collapsed="false">
      <c r="A329" s="25" t="n">
        <v>322</v>
      </c>
      <c r="B329" s="27" t="s">
        <v>241</v>
      </c>
      <c r="C329" s="49" t="s">
        <v>256</v>
      </c>
      <c r="D329" s="134"/>
      <c r="E329" s="135" t="n">
        <v>80</v>
      </c>
      <c r="F329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1243.4474475</v>
      </c>
      <c r="G329" s="135"/>
      <c r="H329" s="130"/>
      <c r="I329" s="115" t="n">
        <f aca="false">Tabela43[[#This Row],[Kolumna5]]*20700*0.27778</f>
        <v>0</v>
      </c>
      <c r="J329" s="130"/>
      <c r="K329" s="130"/>
      <c r="L329" s="28" t="n">
        <f aca="false">Tabela43[[#This Row],[Kolumna8]]*0.000843882*40190*0.27778</f>
        <v>0</v>
      </c>
      <c r="M329" s="130"/>
      <c r="N329" s="130" t="n">
        <v>1500</v>
      </c>
      <c r="O329" s="28" t="n">
        <f aca="false">Tabela43[[#This Row],[Kolumna82]]*35.94*0.27778</f>
        <v>14975.1198</v>
      </c>
      <c r="P329" s="130"/>
      <c r="Q329" s="130"/>
      <c r="R329" s="130" t="n">
        <v>30</v>
      </c>
      <c r="S329" s="116" t="n">
        <f aca="false">Tabela43[[#This Row],[Kolumna92]]*0.65</f>
        <v>19.5</v>
      </c>
      <c r="T329" s="116" t="n">
        <f aca="false">Tabela43[[#This Row],[Kolumna10]]*15600*0.27778</f>
        <v>84500.676</v>
      </c>
      <c r="U329" s="130"/>
      <c r="V329" s="130"/>
      <c r="W329" s="130"/>
      <c r="X329" s="130"/>
      <c r="Y329" s="130" t="n">
        <f aca="false">Tabela43[[#This Row],[Kolumna1223]]*12</f>
        <v>0</v>
      </c>
      <c r="Z329" s="28" t="n">
        <v>6000</v>
      </c>
      <c r="AA329" s="125" t="n">
        <v>1</v>
      </c>
      <c r="AB329" s="125"/>
      <c r="AC329" s="125" t="n">
        <f aca="false">Tabela54[[#This Row],[Kolumna22]]*12</f>
        <v>0</v>
      </c>
      <c r="AD329" s="122" t="n">
        <v>600</v>
      </c>
      <c r="AE329" s="120" t="n">
        <f aca="false">Tabela54[[#This Row],[Kolumna23]]*Tabela54[[#This Row],[Kolumna63]]</f>
        <v>480</v>
      </c>
      <c r="AF329" s="120"/>
      <c r="AG329" s="122" t="n">
        <f aca="false">Tabela54[[#This Row],[Kolumna12]]*12</f>
        <v>0</v>
      </c>
      <c r="AH329" s="122"/>
      <c r="AI329" s="119" t="n">
        <f aca="false">Tabela54[[#This Row],[Kolumna223]]*Tabela54[[#This Row],[Kolumna63]]</f>
        <v>0</v>
      </c>
      <c r="AJ329" s="119"/>
      <c r="AK329" s="122" t="n">
        <f aca="false">Tabela54[[#This Row],[Kolumna34]]*12</f>
        <v>0</v>
      </c>
      <c r="AL329" s="122"/>
      <c r="AM329" s="119" t="n">
        <f aca="false">Tabela54[[#This Row],[Kolumna322]]*Tabela54[[#This Row],[Kolumna63]]</f>
        <v>0</v>
      </c>
      <c r="AN329" s="122"/>
      <c r="AO329" s="122" t="n">
        <f aca="false">Tabela54[[#This Row],[Kolumna5]]*Tabela54[[#This Row],[Kolumna63]]</f>
        <v>0</v>
      </c>
      <c r="AP329" s="53" t="n">
        <v>0.8</v>
      </c>
      <c r="AQ329" s="29" t="s">
        <v>243</v>
      </c>
      <c r="AR329" s="29" t="s">
        <v>244</v>
      </c>
      <c r="AS329" s="29" t="s">
        <v>243</v>
      </c>
      <c r="AT329" s="29"/>
    </row>
    <row r="330" customFormat="false" ht="29.25" hidden="false" customHeight="true" outlineLevel="0" collapsed="false">
      <c r="A330" s="40" t="n">
        <v>323</v>
      </c>
      <c r="B330" s="27" t="s">
        <v>241</v>
      </c>
      <c r="C330" s="49" t="s">
        <v>256</v>
      </c>
      <c r="D330" s="134"/>
      <c r="E330" s="135" t="n">
        <v>150</v>
      </c>
      <c r="F330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155.21901952</v>
      </c>
      <c r="G330" s="135"/>
      <c r="H330" s="130" t="n">
        <v>3</v>
      </c>
      <c r="I330" s="115" t="n">
        <f aca="false">Tabela43[[#This Row],[Kolumna5]]*20700*0.27778</f>
        <v>17250.138</v>
      </c>
      <c r="J330" s="130"/>
      <c r="K330" s="130"/>
      <c r="L330" s="28" t="n">
        <f aca="false">Tabela43[[#This Row],[Kolumna8]]*0.000843882*40190*0.27778</f>
        <v>0</v>
      </c>
      <c r="M330" s="130"/>
      <c r="N330" s="130" t="n">
        <v>40</v>
      </c>
      <c r="O330" s="28" t="n">
        <f aca="false">Tabela43[[#This Row],[Kolumna82]]*35.94*0.27778</f>
        <v>399.336528</v>
      </c>
      <c r="P330" s="130"/>
      <c r="Q330" s="130"/>
      <c r="R330" s="130" t="n">
        <v>2</v>
      </c>
      <c r="S330" s="116" t="n">
        <f aca="false">Tabela43[[#This Row],[Kolumna92]]*0.65</f>
        <v>1.3</v>
      </c>
      <c r="T330" s="116" t="n">
        <f aca="false">Tabela43[[#This Row],[Kolumna10]]*15600*0.27778</f>
        <v>5633.3784</v>
      </c>
      <c r="U330" s="130"/>
      <c r="V330" s="130"/>
      <c r="W330" s="130"/>
      <c r="X330" s="130"/>
      <c r="Y330" s="130" t="n">
        <f aca="false">Tabela43[[#This Row],[Kolumna1223]]*12</f>
        <v>0</v>
      </c>
      <c r="Z330" s="28" t="n">
        <v>2400</v>
      </c>
      <c r="AA330" s="125" t="n">
        <v>1</v>
      </c>
      <c r="AB330" s="125"/>
      <c r="AC330" s="125" t="n">
        <f aca="false">Tabela54[[#This Row],[Kolumna22]]*12</f>
        <v>0</v>
      </c>
      <c r="AD330" s="122"/>
      <c r="AE330" s="120" t="n">
        <f aca="false">Tabela54[[#This Row],[Kolumna23]]*Tabela54[[#This Row],[Kolumna63]]</f>
        <v>0</v>
      </c>
      <c r="AF330" s="120"/>
      <c r="AG330" s="122" t="n">
        <f aca="false">Tabela54[[#This Row],[Kolumna12]]*12</f>
        <v>0</v>
      </c>
      <c r="AH330" s="122"/>
      <c r="AI330" s="119" t="n">
        <f aca="false">Tabela54[[#This Row],[Kolumna223]]*Tabela54[[#This Row],[Kolumna63]]</f>
        <v>0</v>
      </c>
      <c r="AJ330" s="119"/>
      <c r="AK330" s="122" t="n">
        <f aca="false">Tabela54[[#This Row],[Kolumna34]]*12</f>
        <v>0</v>
      </c>
      <c r="AL330" s="122" t="n">
        <v>280</v>
      </c>
      <c r="AM330" s="119" t="n">
        <f aca="false">Tabela54[[#This Row],[Kolumna322]]*Tabela54[[#This Row],[Kolumna63]]</f>
        <v>280</v>
      </c>
      <c r="AN330" s="122"/>
      <c r="AO330" s="122" t="n">
        <f aca="false">Tabela54[[#This Row],[Kolumna5]]*Tabela54[[#This Row],[Kolumna63]]</f>
        <v>0</v>
      </c>
      <c r="AP330" s="53" t="n">
        <v>1</v>
      </c>
      <c r="AQ330" s="29" t="s">
        <v>243</v>
      </c>
      <c r="AR330" s="29" t="s">
        <v>243</v>
      </c>
      <c r="AS330" s="29" t="s">
        <v>243</v>
      </c>
      <c r="AT330" s="29"/>
    </row>
    <row r="331" customFormat="false" ht="29.25" hidden="false" customHeight="true" outlineLevel="0" collapsed="false">
      <c r="A331" s="25" t="n">
        <v>324</v>
      </c>
      <c r="B331" s="27" t="s">
        <v>241</v>
      </c>
      <c r="C331" s="49" t="s">
        <v>256</v>
      </c>
      <c r="D331" s="134"/>
      <c r="E331" s="135" t="n">
        <v>100</v>
      </c>
      <c r="F331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189.58469</v>
      </c>
      <c r="G331" s="135"/>
      <c r="H331" s="130" t="n">
        <v>0.5</v>
      </c>
      <c r="I331" s="115" t="n">
        <f aca="false">Tabela43[[#This Row],[Kolumna5]]*20700*0.27778</f>
        <v>2875.023</v>
      </c>
      <c r="J331" s="130"/>
      <c r="K331" s="130"/>
      <c r="L331" s="28" t="n">
        <f aca="false">Tabela43[[#This Row],[Kolumna8]]*0.000843882*40190*0.27778</f>
        <v>0</v>
      </c>
      <c r="M331" s="130"/>
      <c r="N331" s="130"/>
      <c r="O331" s="28" t="n">
        <f aca="false">Tabela43[[#This Row],[Kolumna82]]*35.94*0.27778</f>
        <v>0</v>
      </c>
      <c r="P331" s="130"/>
      <c r="Q331" s="130"/>
      <c r="R331" s="130" t="n">
        <v>5</v>
      </c>
      <c r="S331" s="116" t="n">
        <f aca="false">Tabela43[[#This Row],[Kolumna92]]*0.65</f>
        <v>3.25</v>
      </c>
      <c r="T331" s="116" t="n">
        <f aca="false">Tabela43[[#This Row],[Kolumna10]]*15600*0.27778</f>
        <v>14083.446</v>
      </c>
      <c r="U331" s="130"/>
      <c r="V331" s="130"/>
      <c r="W331" s="130"/>
      <c r="X331" s="130"/>
      <c r="Y331" s="130" t="n">
        <v>2000</v>
      </c>
      <c r="Z331" s="28" t="n">
        <f aca="false">Tabela43[[#This Row],[Kolumna123]]/0.55</f>
        <v>3636.36363636364</v>
      </c>
      <c r="AA331" s="125" t="n">
        <v>2</v>
      </c>
      <c r="AB331" s="125"/>
      <c r="AC331" s="125" t="n">
        <f aca="false">Tabela54[[#This Row],[Kolumna22]]*12</f>
        <v>0</v>
      </c>
      <c r="AD331" s="122"/>
      <c r="AE331" s="120" t="n">
        <f aca="false">Tabela54[[#This Row],[Kolumna23]]*Tabela54[[#This Row],[Kolumna63]]</f>
        <v>0</v>
      </c>
      <c r="AF331" s="120"/>
      <c r="AG331" s="122" t="n">
        <f aca="false">Tabela54[[#This Row],[Kolumna12]]*12</f>
        <v>0</v>
      </c>
      <c r="AH331" s="122"/>
      <c r="AI331" s="119" t="n">
        <f aca="false">Tabela54[[#This Row],[Kolumna223]]*Tabela54[[#This Row],[Kolumna63]]</f>
        <v>0</v>
      </c>
      <c r="AJ331" s="119"/>
      <c r="AK331" s="122" t="n">
        <f aca="false">Tabela54[[#This Row],[Kolumna34]]*12</f>
        <v>0</v>
      </c>
      <c r="AL331" s="122" t="n">
        <v>1140</v>
      </c>
      <c r="AM331" s="119" t="n">
        <f aca="false">Tabela54[[#This Row],[Kolumna322]]*Tabela54[[#This Row],[Kolumna63]]</f>
        <v>114</v>
      </c>
      <c r="AN331" s="122"/>
      <c r="AO331" s="122" t="n">
        <f aca="false">Tabela54[[#This Row],[Kolumna5]]*Tabela54[[#This Row],[Kolumna63]]</f>
        <v>0</v>
      </c>
      <c r="AP331" s="53" t="n">
        <v>0.1</v>
      </c>
      <c r="AQ331" s="29" t="s">
        <v>243</v>
      </c>
      <c r="AR331" s="29" t="s">
        <v>243</v>
      </c>
      <c r="AS331" s="29" t="s">
        <v>243</v>
      </c>
      <c r="AT331" s="29"/>
    </row>
    <row r="332" customFormat="false" ht="29.25" hidden="false" customHeight="true" outlineLevel="0" collapsed="false">
      <c r="A332" s="25" t="n">
        <v>325</v>
      </c>
      <c r="B332" s="27" t="s">
        <v>241</v>
      </c>
      <c r="C332" s="49" t="s">
        <v>256</v>
      </c>
      <c r="D332" s="134"/>
      <c r="E332" s="135" t="n">
        <v>150</v>
      </c>
      <c r="F332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187.77928</v>
      </c>
      <c r="G332" s="135"/>
      <c r="H332" s="130"/>
      <c r="I332" s="115" t="n">
        <f aca="false">Tabela43[[#This Row],[Kolumna5]]*20700*0.27778</f>
        <v>0</v>
      </c>
      <c r="J332" s="130"/>
      <c r="K332" s="130"/>
      <c r="L332" s="28" t="n">
        <f aca="false">Tabela43[[#This Row],[Kolumna8]]*0.000843882*40190*0.27778</f>
        <v>0</v>
      </c>
      <c r="M332" s="130"/>
      <c r="N332" s="130"/>
      <c r="O332" s="28" t="n">
        <f aca="false">Tabela43[[#This Row],[Kolumna82]]*35.94*0.27778</f>
        <v>0</v>
      </c>
      <c r="P332" s="130"/>
      <c r="Q332" s="130"/>
      <c r="R332" s="130" t="n">
        <v>10</v>
      </c>
      <c r="S332" s="116" t="n">
        <f aca="false">Tabela43[[#This Row],[Kolumna92]]*0.65</f>
        <v>6.5</v>
      </c>
      <c r="T332" s="116" t="n">
        <f aca="false">Tabela43[[#This Row],[Kolumna10]]*15600*0.27778</f>
        <v>28166.892</v>
      </c>
      <c r="U332" s="130"/>
      <c r="V332" s="130"/>
      <c r="W332" s="130"/>
      <c r="X332" s="130"/>
      <c r="Y332" s="130" t="n">
        <f aca="false">Tabela43[[#This Row],[Kolumna1223]]*12</f>
        <v>0</v>
      </c>
      <c r="Z332" s="116"/>
      <c r="AA332" s="125" t="n">
        <v>1</v>
      </c>
      <c r="AB332" s="125"/>
      <c r="AC332" s="125" t="n">
        <f aca="false">Tabela54[[#This Row],[Kolumna22]]*12</f>
        <v>0</v>
      </c>
      <c r="AD332" s="122"/>
      <c r="AE332" s="120" t="n">
        <f aca="false">Tabela54[[#This Row],[Kolumna23]]*Tabela54[[#This Row],[Kolumna63]]</f>
        <v>0</v>
      </c>
      <c r="AF332" s="120"/>
      <c r="AG332" s="122" t="n">
        <f aca="false">Tabela54[[#This Row],[Kolumna12]]*12</f>
        <v>0</v>
      </c>
      <c r="AH332" s="122" t="n">
        <v>1000</v>
      </c>
      <c r="AI332" s="119" t="n">
        <f aca="false">Tabela54[[#This Row],[Kolumna223]]*Tabela54[[#This Row],[Kolumna63]]</f>
        <v>500</v>
      </c>
      <c r="AJ332" s="119"/>
      <c r="AK332" s="122" t="n">
        <f aca="false">Tabela54[[#This Row],[Kolumna34]]*12</f>
        <v>0</v>
      </c>
      <c r="AL332" s="122"/>
      <c r="AM332" s="119" t="n">
        <f aca="false">Tabela54[[#This Row],[Kolumna322]]*Tabela54[[#This Row],[Kolumna63]]</f>
        <v>0</v>
      </c>
      <c r="AN332" s="122"/>
      <c r="AO332" s="122" t="n">
        <f aca="false">Tabela54[[#This Row],[Kolumna5]]*Tabela54[[#This Row],[Kolumna63]]</f>
        <v>0</v>
      </c>
      <c r="AP332" s="53" t="n">
        <v>0.5</v>
      </c>
      <c r="AQ332" s="29" t="s">
        <v>243</v>
      </c>
      <c r="AR332" s="29" t="s">
        <v>243</v>
      </c>
      <c r="AS332" s="29" t="s">
        <v>243</v>
      </c>
      <c r="AT332" s="29"/>
    </row>
    <row r="333" customFormat="false" ht="29.25" hidden="false" customHeight="true" outlineLevel="0" collapsed="false">
      <c r="A333" s="40" t="n">
        <v>326</v>
      </c>
      <c r="B333" s="27" t="s">
        <v>241</v>
      </c>
      <c r="C333" s="49" t="s">
        <v>256</v>
      </c>
      <c r="D333" s="134"/>
      <c r="E333" s="135" t="n">
        <v>150</v>
      </c>
      <c r="F333" s="116" t="n">
        <f aca="false">(SUM(Tabela43[[#This Row],[Kolumna6]],Tabela43[[#This Row],[Kolumna85]],Tabela43[[#This Row],[Kolumna822]],Tabela43[[#This Row],[Kolumna11]],Tabela43[[#This Row],[Kolumna12]],Tabela43[[#This Row],[Kolumna122]],Tabela43[[#This Row],[Kolumna123]]))/Tabela43[[#This Row],[Kolumna33]]</f>
        <v>281.66892</v>
      </c>
      <c r="G333" s="135"/>
      <c r="H333" s="130"/>
      <c r="I333" s="115" t="n">
        <f aca="false">Tabela43[[#This Row],[Kolumna5]]*20700*0.27778</f>
        <v>0</v>
      </c>
      <c r="J333" s="130"/>
      <c r="K333" s="130"/>
      <c r="L333" s="28" t="n">
        <f aca="false">Tabela43[[#This Row],[Kolumna8]]*0.000843882*40190*0.27778</f>
        <v>0</v>
      </c>
      <c r="M333" s="130"/>
      <c r="N333" s="130"/>
      <c r="O333" s="28" t="n">
        <f aca="false">Tabela43[[#This Row],[Kolumna82]]*35.94*0.27778</f>
        <v>0</v>
      </c>
      <c r="P333" s="130"/>
      <c r="Q333" s="130"/>
      <c r="R333" s="130" t="n">
        <v>15</v>
      </c>
      <c r="S333" s="116" t="n">
        <f aca="false">Tabela43[[#This Row],[Kolumna92]]*0.65</f>
        <v>9.75</v>
      </c>
      <c r="T333" s="116" t="n">
        <f aca="false">Tabela43[[#This Row],[Kolumna10]]*15600*0.27778</f>
        <v>42250.338</v>
      </c>
      <c r="U333" s="130"/>
      <c r="V333" s="130"/>
      <c r="W333" s="130"/>
      <c r="X333" s="130"/>
      <c r="Y333" s="130" t="n">
        <f aca="false">Tabela43[[#This Row],[Kolumna1223]]*12</f>
        <v>0</v>
      </c>
      <c r="Z333" s="28" t="n">
        <v>8000</v>
      </c>
      <c r="AA333" s="125" t="n">
        <v>1</v>
      </c>
      <c r="AB333" s="125"/>
      <c r="AC333" s="125" t="n">
        <f aca="false">Tabela54[[#This Row],[Kolumna22]]*12</f>
        <v>0</v>
      </c>
      <c r="AD333" s="122" t="n">
        <v>500</v>
      </c>
      <c r="AE333" s="120" t="n">
        <f aca="false">Tabela54[[#This Row],[Kolumna23]]*Tabela54[[#This Row],[Kolumna63]]</f>
        <v>350</v>
      </c>
      <c r="AF333" s="120"/>
      <c r="AG333" s="122" t="n">
        <f aca="false">Tabela54[[#This Row],[Kolumna12]]*12</f>
        <v>0</v>
      </c>
      <c r="AH333" s="122"/>
      <c r="AI333" s="119" t="n">
        <f aca="false">Tabela54[[#This Row],[Kolumna223]]*Tabela54[[#This Row],[Kolumna63]]</f>
        <v>0</v>
      </c>
      <c r="AJ333" s="119"/>
      <c r="AK333" s="122" t="n">
        <f aca="false">Tabela54[[#This Row],[Kolumna34]]*12</f>
        <v>0</v>
      </c>
      <c r="AL333" s="122"/>
      <c r="AM333" s="119" t="n">
        <f aca="false">Tabela54[[#This Row],[Kolumna322]]*Tabela54[[#This Row],[Kolumna63]]</f>
        <v>0</v>
      </c>
      <c r="AN333" s="122"/>
      <c r="AO333" s="122" t="n">
        <f aca="false">Tabela54[[#This Row],[Kolumna5]]*Tabela54[[#This Row],[Kolumna63]]</f>
        <v>0</v>
      </c>
      <c r="AP333" s="53" t="n">
        <v>0.7</v>
      </c>
      <c r="AQ333" s="29" t="s">
        <v>243</v>
      </c>
      <c r="AR333" s="29" t="s">
        <v>243</v>
      </c>
      <c r="AS333" s="29" t="s">
        <v>243</v>
      </c>
      <c r="AT333" s="29"/>
    </row>
    <row r="334" customFormat="false" ht="15" hidden="false" customHeight="false" outlineLevel="0" collapsed="false">
      <c r="A334" s="25"/>
      <c r="B334" s="27"/>
      <c r="C334" s="49"/>
      <c r="D334" s="134"/>
      <c r="E334" s="135"/>
      <c r="F334" s="116"/>
      <c r="G334" s="135"/>
      <c r="H334" s="130"/>
      <c r="I334" s="115"/>
      <c r="J334" s="130"/>
      <c r="K334" s="130"/>
      <c r="L334" s="28"/>
      <c r="M334" s="130"/>
      <c r="N334" s="130"/>
      <c r="O334" s="28"/>
      <c r="P334" s="130"/>
      <c r="Q334" s="130"/>
      <c r="R334" s="130"/>
      <c r="S334" s="116"/>
      <c r="T334" s="116"/>
      <c r="U334" s="130"/>
      <c r="V334" s="130"/>
      <c r="W334" s="130"/>
      <c r="X334" s="130"/>
      <c r="Y334" s="130"/>
      <c r="Z334" s="116"/>
      <c r="AA334" s="125"/>
      <c r="AB334" s="125"/>
      <c r="AC334" s="125"/>
      <c r="AD334" s="122"/>
      <c r="AE334" s="120"/>
      <c r="AF334" s="120"/>
      <c r="AG334" s="122"/>
      <c r="AH334" s="122"/>
      <c r="AI334" s="119"/>
      <c r="AJ334" s="119"/>
      <c r="AK334" s="122"/>
      <c r="AL334" s="122"/>
      <c r="AM334" s="119"/>
      <c r="AN334" s="122"/>
      <c r="AO334" s="122"/>
      <c r="AP334" s="53"/>
    </row>
    <row r="335" customFormat="false" ht="15" hidden="false" customHeight="true" outlineLevel="0" collapsed="false">
      <c r="A335" s="73" t="s">
        <v>168</v>
      </c>
      <c r="B335" s="73"/>
      <c r="C335" s="73"/>
      <c r="D335" s="73"/>
      <c r="E335" s="148" t="n">
        <f aca="false">SUM(E8:E333)</f>
        <v>41580</v>
      </c>
      <c r="F335" s="149"/>
      <c r="G335" s="150"/>
      <c r="H335" s="77" t="n">
        <f aca="false">SUM(Tabela43[Kolumna5])</f>
        <v>605.5</v>
      </c>
      <c r="I335" s="151"/>
      <c r="J335" s="152"/>
      <c r="K335" s="74" t="n">
        <f aca="false">SUM(K8:K333)</f>
        <v>0</v>
      </c>
      <c r="L335" s="153"/>
      <c r="M335" s="152"/>
      <c r="N335" s="77" t="n">
        <f aca="false">SUM(Tabela43[Kolumna82])</f>
        <v>66602.7647058824</v>
      </c>
      <c r="O335" s="151"/>
      <c r="P335" s="154" t="n">
        <f aca="false">SUM(Tabela43[Kolumna83])*11</f>
        <v>3839</v>
      </c>
      <c r="Q335" s="152"/>
      <c r="R335" s="152"/>
      <c r="S335" s="77" t="n">
        <f aca="false">SUM(Tabela43[Kolumna10])</f>
        <v>1620.03</v>
      </c>
      <c r="T335" s="151"/>
      <c r="U335" s="155" t="n">
        <f aca="false">SUM(Tabela43[Kolumna12])</f>
        <v>25200</v>
      </c>
      <c r="V335" s="155" t="n">
        <f aca="false">SUM(V8:V333)</f>
        <v>0</v>
      </c>
      <c r="W335" s="74"/>
      <c r="X335" s="74"/>
      <c r="Y335" s="151"/>
      <c r="Z335" s="77" t="n">
        <f aca="false">SUM(Tabela43[Kolumna125])*0.001</f>
        <v>1091.12981818182</v>
      </c>
      <c r="AA335" s="156" t="s">
        <v>261</v>
      </c>
      <c r="AB335" s="156"/>
      <c r="AC335" s="156"/>
      <c r="AD335" s="156"/>
      <c r="AE335" s="157" t="n">
        <f aca="false">SUM(Tabela54[Kolumna1])</f>
        <v>93826.4459459459</v>
      </c>
      <c r="AF335" s="158"/>
      <c r="AG335" s="159"/>
      <c r="AH335" s="159"/>
      <c r="AI335" s="157" t="n">
        <f aca="false">SUM(AI8:AI333)</f>
        <v>46730.2264150944</v>
      </c>
      <c r="AJ335" s="158"/>
      <c r="AK335" s="159"/>
      <c r="AL335" s="159"/>
      <c r="AM335" s="160" t="n">
        <f aca="false">SUM(Tabela54[Kolumna42])</f>
        <v>61142.0714285715</v>
      </c>
      <c r="AN335" s="159"/>
      <c r="AO335" s="161" t="n">
        <f aca="false">SUM(Tabela54[Kolumna62])</f>
        <v>2430</v>
      </c>
    </row>
    <row r="336" customFormat="false" ht="15" hidden="false" customHeight="true" outlineLevel="0" collapsed="false">
      <c r="A336" s="80" t="s">
        <v>170</v>
      </c>
      <c r="B336" s="80"/>
      <c r="C336" s="80"/>
      <c r="D336" s="80"/>
      <c r="E336" s="162"/>
      <c r="F336" s="162"/>
      <c r="G336" s="162"/>
      <c r="H336" s="81" t="n">
        <f aca="false">H342*H337</f>
        <v>1162.872052902</v>
      </c>
      <c r="I336" s="163"/>
      <c r="J336" s="163"/>
      <c r="K336" s="81" t="n">
        <f aca="false">K342*K337</f>
        <v>0</v>
      </c>
      <c r="L336" s="163"/>
      <c r="M336" s="163"/>
      <c r="N336" s="81" t="n">
        <f aca="false">N342*N337</f>
        <v>133.649506984561</v>
      </c>
      <c r="O336" s="163"/>
      <c r="P336" s="164" t="n">
        <f aca="false">P342*P337</f>
        <v>14.8657248</v>
      </c>
      <c r="Q336" s="163"/>
      <c r="R336" s="163"/>
      <c r="S336" s="81" t="n">
        <f aca="false">S337*S342</f>
        <v>0</v>
      </c>
      <c r="T336" s="163"/>
      <c r="U336" s="165" t="n">
        <f aca="false">U337*U342</f>
        <v>0</v>
      </c>
      <c r="V336" s="165" t="n">
        <f aca="false">V337*V342</f>
        <v>0</v>
      </c>
      <c r="W336" s="165"/>
      <c r="X336" s="165"/>
      <c r="Y336" s="166"/>
      <c r="Z336" s="81" t="n">
        <f aca="false">Z335*Z337</f>
        <v>885.997412363636</v>
      </c>
      <c r="AA336" s="167" t="s">
        <v>262</v>
      </c>
      <c r="AB336" s="167"/>
      <c r="AC336" s="167"/>
      <c r="AD336" s="167"/>
      <c r="AE336" s="168" t="n">
        <v>9.2</v>
      </c>
      <c r="AF336" s="169"/>
      <c r="AG336" s="170"/>
      <c r="AH336" s="170"/>
      <c r="AI336" s="171" t="n">
        <v>6.96</v>
      </c>
      <c r="AJ336" s="170"/>
      <c r="AK336" s="169"/>
      <c r="AL336" s="169"/>
      <c r="AM336" s="168" t="n">
        <v>10</v>
      </c>
      <c r="AN336" s="169"/>
      <c r="AO336" s="171" t="n">
        <v>9.34</v>
      </c>
    </row>
    <row r="337" customFormat="false" ht="15" hidden="false" customHeight="true" outlineLevel="0" collapsed="false">
      <c r="A337" s="85" t="s">
        <v>172</v>
      </c>
      <c r="B337" s="85"/>
      <c r="C337" s="85"/>
      <c r="D337" s="85"/>
      <c r="E337" s="172"/>
      <c r="F337" s="172"/>
      <c r="G337" s="172"/>
      <c r="H337" s="88" t="n">
        <v>0.334</v>
      </c>
      <c r="I337" s="173"/>
      <c r="J337" s="173"/>
      <c r="K337" s="88" t="n">
        <v>0.276</v>
      </c>
      <c r="L337" s="173"/>
      <c r="M337" s="173"/>
      <c r="N337" s="88" t="n">
        <v>0.201</v>
      </c>
      <c r="O337" s="173"/>
      <c r="P337" s="174" t="n">
        <v>0.225</v>
      </c>
      <c r="Q337" s="173"/>
      <c r="R337" s="173"/>
      <c r="S337" s="88" t="n">
        <v>0</v>
      </c>
      <c r="T337" s="173"/>
      <c r="U337" s="88" t="n">
        <v>0</v>
      </c>
      <c r="V337" s="88" t="n">
        <v>0</v>
      </c>
      <c r="W337" s="88"/>
      <c r="X337" s="88"/>
      <c r="Y337" s="173"/>
      <c r="Z337" s="88" t="n">
        <v>0.812</v>
      </c>
      <c r="AA337" s="175" t="s">
        <v>263</v>
      </c>
      <c r="AB337" s="175"/>
      <c r="AC337" s="175"/>
      <c r="AD337" s="175"/>
      <c r="AE337" s="176" t="n">
        <v>0.247</v>
      </c>
      <c r="AF337" s="177"/>
      <c r="AG337" s="178"/>
      <c r="AH337" s="178"/>
      <c r="AI337" s="176" t="n">
        <v>0.225</v>
      </c>
      <c r="AJ337" s="177"/>
      <c r="AK337" s="177"/>
      <c r="AL337" s="177"/>
      <c r="AM337" s="176" t="n">
        <v>0.264</v>
      </c>
      <c r="AN337" s="177"/>
      <c r="AO337" s="179" t="n">
        <v>0</v>
      </c>
    </row>
    <row r="338" customFormat="false" ht="15" hidden="false" customHeight="true" outlineLevel="0" collapsed="false">
      <c r="A338" s="89" t="s">
        <v>174</v>
      </c>
      <c r="B338" s="89"/>
      <c r="C338" s="89"/>
      <c r="D338" s="180"/>
      <c r="E338" s="181"/>
      <c r="F338" s="181"/>
      <c r="G338" s="182"/>
      <c r="H338" s="183" t="n">
        <v>20700</v>
      </c>
      <c r="I338" s="184"/>
      <c r="J338" s="184"/>
      <c r="K338" s="183" t="n">
        <v>40190</v>
      </c>
      <c r="L338" s="184"/>
      <c r="M338" s="184"/>
      <c r="N338" s="183" t="n">
        <v>35.94</v>
      </c>
      <c r="O338" s="184"/>
      <c r="P338" s="94" t="n">
        <v>6.96</v>
      </c>
      <c r="Q338" s="184"/>
      <c r="R338" s="184"/>
      <c r="S338" s="183" t="n">
        <v>15600</v>
      </c>
      <c r="T338" s="184"/>
      <c r="U338" s="184"/>
      <c r="V338" s="184"/>
      <c r="W338" s="184"/>
      <c r="X338" s="184"/>
      <c r="Y338" s="184"/>
      <c r="Z338" s="184"/>
      <c r="AA338" s="185" t="s">
        <v>264</v>
      </c>
      <c r="AB338" s="185"/>
      <c r="AC338" s="185"/>
      <c r="AD338" s="185"/>
      <c r="AE338" s="186" t="n">
        <f aca="false">AE335*AE336/1000</f>
        <v>863.203302702702</v>
      </c>
      <c r="AF338" s="187"/>
      <c r="AG338" s="188"/>
      <c r="AH338" s="188"/>
      <c r="AI338" s="189" t="n">
        <f aca="false">AI335*AI336/1000</f>
        <v>325.242375849057</v>
      </c>
      <c r="AJ338" s="190"/>
      <c r="AK338" s="191"/>
      <c r="AL338" s="191"/>
      <c r="AM338" s="186" t="n">
        <f aca="false">AM335*AM336/1000</f>
        <v>611.420714285715</v>
      </c>
      <c r="AN338" s="191"/>
      <c r="AO338" s="189" t="n">
        <f aca="false">AO335*AO336/1000</f>
        <v>22.6962</v>
      </c>
    </row>
    <row r="339" customFormat="false" ht="15" hidden="false" customHeight="true" outlineLevel="0" collapsed="false">
      <c r="A339" s="89" t="s">
        <v>176</v>
      </c>
      <c r="B339" s="89"/>
      <c r="C339" s="89"/>
      <c r="D339" s="192"/>
      <c r="E339" s="181"/>
      <c r="F339" s="181"/>
      <c r="G339" s="193"/>
      <c r="H339" s="184"/>
      <c r="I339" s="184"/>
      <c r="J339" s="184"/>
      <c r="K339" s="183" t="n">
        <v>0.0008438819</v>
      </c>
      <c r="L339" s="184"/>
      <c r="M339" s="184"/>
      <c r="N339" s="184"/>
      <c r="O339" s="184"/>
      <c r="P339" s="95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94" t="s">
        <v>170</v>
      </c>
      <c r="AB339" s="194"/>
      <c r="AC339" s="194"/>
      <c r="AD339" s="194"/>
      <c r="AE339" s="195" t="n">
        <f aca="false">AE337*AE338</f>
        <v>213.211215767567</v>
      </c>
      <c r="AF339" s="196"/>
      <c r="AG339" s="197"/>
      <c r="AH339" s="197"/>
      <c r="AI339" s="198" t="n">
        <f aca="false">AI338*AI337</f>
        <v>73.1795345660378</v>
      </c>
      <c r="AJ339" s="199"/>
      <c r="AK339" s="200"/>
      <c r="AL339" s="200"/>
      <c r="AM339" s="195" t="n">
        <f aca="false">AM337*AM338</f>
        <v>161.415068571429</v>
      </c>
      <c r="AN339" s="200"/>
      <c r="AO339" s="201" t="n">
        <f aca="false">AO337*AO338</f>
        <v>0</v>
      </c>
    </row>
    <row r="340" customFormat="false" ht="14.25" hidden="false" customHeight="true" outlineLevel="0" collapsed="false">
      <c r="A340" s="89" t="s">
        <v>177</v>
      </c>
      <c r="B340" s="89"/>
      <c r="C340" s="89"/>
      <c r="D340" s="192"/>
      <c r="E340" s="181"/>
      <c r="F340" s="181"/>
      <c r="G340" s="193"/>
      <c r="H340" s="183" t="n">
        <f aca="false">H335</f>
        <v>605.5</v>
      </c>
      <c r="I340" s="184"/>
      <c r="J340" s="184"/>
      <c r="K340" s="183" t="n">
        <f aca="false">K335*K339</f>
        <v>0</v>
      </c>
      <c r="L340" s="184"/>
      <c r="M340" s="184"/>
      <c r="N340" s="184"/>
      <c r="O340" s="184"/>
      <c r="P340" s="183" t="n">
        <f aca="false">P335*27.2/11</f>
        <v>9492.8</v>
      </c>
      <c r="Q340" s="184"/>
      <c r="R340" s="184"/>
      <c r="S340" s="183" t="n">
        <f aca="false">S335</f>
        <v>1620.03</v>
      </c>
      <c r="T340" s="184"/>
      <c r="U340" s="184"/>
      <c r="V340" s="184"/>
      <c r="W340" s="184"/>
      <c r="X340" s="184"/>
      <c r="Y340" s="184"/>
      <c r="Z340" s="184"/>
    </row>
    <row r="341" customFormat="false" ht="14.25" hidden="false" customHeight="true" outlineLevel="0" collapsed="false">
      <c r="A341" s="89" t="s">
        <v>178</v>
      </c>
      <c r="B341" s="89"/>
      <c r="C341" s="89"/>
      <c r="D341" s="202"/>
      <c r="E341" s="181"/>
      <c r="F341" s="181"/>
      <c r="G341" s="203"/>
      <c r="H341" s="183" t="n">
        <f aca="false">H335*H338</f>
        <v>12533850</v>
      </c>
      <c r="I341" s="184"/>
      <c r="J341" s="184"/>
      <c r="K341" s="183" t="n">
        <f aca="false">K340*K338</f>
        <v>0</v>
      </c>
      <c r="L341" s="184"/>
      <c r="M341" s="184"/>
      <c r="N341" s="183" t="n">
        <f aca="false">N335*N338</f>
        <v>2393703.36352941</v>
      </c>
      <c r="O341" s="184"/>
      <c r="P341" s="184"/>
      <c r="Q341" s="184"/>
      <c r="R341" s="184"/>
      <c r="S341" s="183" t="n">
        <f aca="false">S335*S338</f>
        <v>25272468</v>
      </c>
      <c r="T341" s="184"/>
      <c r="U341" s="184"/>
      <c r="V341" s="184"/>
      <c r="W341" s="184"/>
      <c r="X341" s="184"/>
      <c r="Y341" s="184"/>
      <c r="Z341" s="184"/>
    </row>
    <row r="342" customFormat="false" ht="14.25" hidden="false" customHeight="true" outlineLevel="0" collapsed="false">
      <c r="A342" s="96" t="s">
        <v>179</v>
      </c>
      <c r="B342" s="96"/>
      <c r="C342" s="96"/>
      <c r="D342" s="97"/>
      <c r="E342" s="204"/>
      <c r="F342" s="204"/>
      <c r="G342" s="205"/>
      <c r="H342" s="100" t="n">
        <f aca="false">H341*0.00027778</f>
        <v>3481.652853</v>
      </c>
      <c r="I342" s="206"/>
      <c r="J342" s="206"/>
      <c r="K342" s="100" t="n">
        <f aca="false">K341*0.00027778</f>
        <v>0</v>
      </c>
      <c r="L342" s="206"/>
      <c r="M342" s="206"/>
      <c r="N342" s="100" t="n">
        <f aca="false">N341*0.00027778</f>
        <v>664.9229203212</v>
      </c>
      <c r="O342" s="206"/>
      <c r="P342" s="189" t="n">
        <f aca="false">P340*P338/1000</f>
        <v>66.069888</v>
      </c>
      <c r="Q342" s="206"/>
      <c r="R342" s="206"/>
      <c r="S342" s="100" t="n">
        <f aca="false">S341*0.00027778</f>
        <v>7020.18616104</v>
      </c>
      <c r="T342" s="206"/>
      <c r="U342" s="100" t="n">
        <f aca="false">U335*0.001</f>
        <v>25.2</v>
      </c>
      <c r="V342" s="100" t="n">
        <f aca="false">V335*0.001</f>
        <v>0</v>
      </c>
      <c r="W342" s="100"/>
      <c r="X342" s="100"/>
      <c r="Y342" s="100" t="n">
        <f aca="false">Y335*0.001</f>
        <v>0</v>
      </c>
      <c r="Z342" s="100" t="n">
        <f aca="false">Z335</f>
        <v>1091.12981818182</v>
      </c>
    </row>
    <row r="344" customFormat="false" ht="15" hidden="false" customHeight="false" outlineLevel="0" collapsed="false"/>
    <row r="345" customFormat="false" ht="15" hidden="false" customHeight="false" outlineLevel="0" collapsed="false">
      <c r="B345" s="207" t="s">
        <v>265</v>
      </c>
      <c r="C345" s="208" t="n">
        <v>326</v>
      </c>
    </row>
    <row r="346" customFormat="false" ht="15" hidden="false" customHeight="false" outlineLevel="0" collapsed="false">
      <c r="B346" s="207" t="s">
        <v>266</v>
      </c>
      <c r="C346" s="208" t="n">
        <v>3059</v>
      </c>
    </row>
    <row r="347" customFormat="false" ht="15" hidden="false" customHeight="false" outlineLevel="0" collapsed="false">
      <c r="B347" s="207" t="s">
        <v>267</v>
      </c>
      <c r="C347" s="209" t="n">
        <f aca="false">E335</f>
        <v>41580</v>
      </c>
    </row>
    <row r="348" customFormat="false" ht="15" hidden="false" customHeight="false" outlineLevel="0" collapsed="false">
      <c r="B348" s="207" t="s">
        <v>268</v>
      </c>
      <c r="C348" s="208" t="n">
        <v>288662</v>
      </c>
    </row>
    <row r="351" customFormat="false" ht="18" hidden="false" customHeight="false" outlineLevel="0" collapsed="false">
      <c r="B351" s="210" t="s">
        <v>269</v>
      </c>
    </row>
    <row r="353" customFormat="false" ht="15" hidden="false" customHeight="true" outlineLevel="0" collapsed="false">
      <c r="A353" s="73" t="s">
        <v>168</v>
      </c>
      <c r="B353" s="73"/>
      <c r="C353" s="73"/>
      <c r="D353" s="73"/>
      <c r="E353" s="211" t="n">
        <f aca="false">C348</f>
        <v>288662</v>
      </c>
      <c r="F353" s="149"/>
      <c r="G353" s="150"/>
      <c r="H353" s="77" t="n">
        <f aca="false">H335*C348/C347</f>
        <v>4203.57962962963</v>
      </c>
      <c r="I353" s="152"/>
      <c r="J353" s="152"/>
      <c r="K353" s="155" t="n">
        <f aca="false">K335*C348/C347</f>
        <v>0</v>
      </c>
      <c r="L353" s="153"/>
      <c r="M353" s="152"/>
      <c r="N353" s="77" t="n">
        <v>564900</v>
      </c>
      <c r="O353" s="151"/>
      <c r="P353" s="154" t="n">
        <f aca="false">P335*C348/C347</f>
        <v>26651.5973544974</v>
      </c>
      <c r="Q353" s="152"/>
      <c r="R353" s="152"/>
      <c r="S353" s="77" t="n">
        <f aca="false">S335*C348/C347</f>
        <v>11246.7796984127</v>
      </c>
      <c r="T353" s="152"/>
      <c r="U353" s="77" t="n">
        <f aca="false">U335*C348/C347</f>
        <v>174946.666666667</v>
      </c>
      <c r="V353" s="155" t="n">
        <f aca="false">V335*C348/C347</f>
        <v>0</v>
      </c>
      <c r="W353" s="155"/>
      <c r="X353" s="155"/>
      <c r="Y353" s="151"/>
      <c r="Z353" s="77" t="n">
        <f aca="false">Z335*C348/C347</f>
        <v>7574.98113458393</v>
      </c>
      <c r="AA353" s="156" t="s">
        <v>261</v>
      </c>
      <c r="AB353" s="156"/>
      <c r="AC353" s="156"/>
      <c r="AD353" s="156"/>
      <c r="AE353" s="157" t="n">
        <f aca="false">AE335*C346/C345</f>
        <v>880414.411498922</v>
      </c>
      <c r="AF353" s="158"/>
      <c r="AG353" s="159"/>
      <c r="AH353" s="159"/>
      <c r="AI353" s="157" t="n">
        <f aca="false">AI335*C346/C345</f>
        <v>438490.069336729</v>
      </c>
      <c r="AJ353" s="158"/>
      <c r="AK353" s="159"/>
      <c r="AL353" s="159"/>
      <c r="AM353" s="212" t="n">
        <f aca="false">AM335*C346/C345</f>
        <v>573722.688650307</v>
      </c>
      <c r="AN353" s="159"/>
      <c r="AO353" s="213" t="n">
        <f aca="false">AO335*C346/C345</f>
        <v>22801.7484662577</v>
      </c>
    </row>
    <row r="354" customFormat="false" ht="15" hidden="false" customHeight="true" outlineLevel="0" collapsed="false">
      <c r="A354" s="80" t="s">
        <v>170</v>
      </c>
      <c r="B354" s="80"/>
      <c r="C354" s="80"/>
      <c r="D354" s="80"/>
      <c r="E354" s="162"/>
      <c r="F354" s="162"/>
      <c r="G354" s="162"/>
      <c r="H354" s="81" t="n">
        <f aca="false">H360*H355</f>
        <v>8073.03926250113</v>
      </c>
      <c r="I354" s="163"/>
      <c r="J354" s="163"/>
      <c r="K354" s="81" t="n">
        <f aca="false">K360*K355</f>
        <v>0</v>
      </c>
      <c r="L354" s="163"/>
      <c r="M354" s="163"/>
      <c r="N354" s="81" t="n">
        <f aca="false">N360*N355</f>
        <v>1133.56565345268</v>
      </c>
      <c r="O354" s="163"/>
      <c r="P354" s="164" t="n">
        <f aca="false">P360*P355</f>
        <v>103.202738148571</v>
      </c>
      <c r="Q354" s="163"/>
      <c r="R354" s="163"/>
      <c r="S354" s="81" t="n">
        <f aca="false">S355*S360</f>
        <v>0</v>
      </c>
      <c r="T354" s="163"/>
      <c r="U354" s="81" t="n">
        <f aca="false">U355*U360</f>
        <v>0</v>
      </c>
      <c r="V354" s="81" t="n">
        <f aca="false">V355*V360</f>
        <v>0</v>
      </c>
      <c r="W354" s="81"/>
      <c r="X354" s="81"/>
      <c r="Y354" s="166"/>
      <c r="Z354" s="81" t="n">
        <f aca="false">Z360*Z355</f>
        <v>6150.88468128216</v>
      </c>
      <c r="AA354" s="167" t="s">
        <v>262</v>
      </c>
      <c r="AB354" s="167"/>
      <c r="AC354" s="167"/>
      <c r="AD354" s="167"/>
      <c r="AE354" s="168" t="n">
        <v>9.2</v>
      </c>
      <c r="AF354" s="169"/>
      <c r="AG354" s="170"/>
      <c r="AH354" s="170"/>
      <c r="AI354" s="171" t="n">
        <v>6.96</v>
      </c>
      <c r="AJ354" s="214"/>
      <c r="AK354" s="169"/>
      <c r="AL354" s="169"/>
      <c r="AM354" s="168" t="n">
        <v>10</v>
      </c>
      <c r="AN354" s="169"/>
      <c r="AO354" s="171" t="n">
        <v>9.34</v>
      </c>
    </row>
    <row r="355" customFormat="false" ht="15" hidden="false" customHeight="true" outlineLevel="0" collapsed="false">
      <c r="A355" s="85" t="s">
        <v>172</v>
      </c>
      <c r="B355" s="85"/>
      <c r="C355" s="85"/>
      <c r="D355" s="85"/>
      <c r="E355" s="172"/>
      <c r="F355" s="172"/>
      <c r="G355" s="172"/>
      <c r="H355" s="88" t="n">
        <v>0.334</v>
      </c>
      <c r="I355" s="173"/>
      <c r="J355" s="173"/>
      <c r="K355" s="88" t="n">
        <v>0.276</v>
      </c>
      <c r="L355" s="173"/>
      <c r="M355" s="173"/>
      <c r="N355" s="88" t="n">
        <v>0.201</v>
      </c>
      <c r="O355" s="173"/>
      <c r="P355" s="174" t="n">
        <v>0.225</v>
      </c>
      <c r="Q355" s="173"/>
      <c r="R355" s="173"/>
      <c r="S355" s="88" t="n">
        <v>0</v>
      </c>
      <c r="T355" s="173"/>
      <c r="U355" s="88" t="n">
        <v>0</v>
      </c>
      <c r="V355" s="88" t="n">
        <v>0</v>
      </c>
      <c r="W355" s="88"/>
      <c r="X355" s="88"/>
      <c r="Y355" s="173"/>
      <c r="Z355" s="88" t="n">
        <v>0.812</v>
      </c>
      <c r="AA355" s="175" t="s">
        <v>263</v>
      </c>
      <c r="AB355" s="175"/>
      <c r="AC355" s="175"/>
      <c r="AD355" s="175"/>
      <c r="AE355" s="176" t="n">
        <v>0.247</v>
      </c>
      <c r="AF355" s="177"/>
      <c r="AG355" s="178"/>
      <c r="AH355" s="178"/>
      <c r="AI355" s="176" t="n">
        <v>0.225</v>
      </c>
      <c r="AJ355" s="177"/>
      <c r="AK355" s="177"/>
      <c r="AL355" s="177"/>
      <c r="AM355" s="176" t="n">
        <v>0.264</v>
      </c>
      <c r="AN355" s="177"/>
      <c r="AO355" s="179" t="n">
        <v>0</v>
      </c>
    </row>
    <row r="356" customFormat="false" ht="15" hidden="false" customHeight="true" outlineLevel="0" collapsed="false">
      <c r="A356" s="89" t="s">
        <v>174</v>
      </c>
      <c r="B356" s="89"/>
      <c r="C356" s="89"/>
      <c r="D356" s="180"/>
      <c r="E356" s="181"/>
      <c r="F356" s="181"/>
      <c r="G356" s="182"/>
      <c r="H356" s="183" t="n">
        <v>20700</v>
      </c>
      <c r="I356" s="184"/>
      <c r="J356" s="184"/>
      <c r="K356" s="183" t="n">
        <v>40190</v>
      </c>
      <c r="L356" s="184"/>
      <c r="M356" s="184"/>
      <c r="N356" s="183" t="n">
        <v>35.94</v>
      </c>
      <c r="O356" s="184"/>
      <c r="P356" s="94" t="n">
        <v>6.96</v>
      </c>
      <c r="Q356" s="184"/>
      <c r="R356" s="184"/>
      <c r="S356" s="183" t="n">
        <v>15600</v>
      </c>
      <c r="T356" s="184"/>
      <c r="U356" s="184"/>
      <c r="V356" s="184"/>
      <c r="W356" s="184"/>
      <c r="X356" s="184"/>
      <c r="Y356" s="184"/>
      <c r="Z356" s="184"/>
      <c r="AA356" s="185" t="s">
        <v>264</v>
      </c>
      <c r="AB356" s="185"/>
      <c r="AC356" s="185"/>
      <c r="AD356" s="185"/>
      <c r="AE356" s="186" t="n">
        <f aca="false">AE353*AE354/1000</f>
        <v>8099.81258579008</v>
      </c>
      <c r="AF356" s="187"/>
      <c r="AG356" s="188"/>
      <c r="AH356" s="188"/>
      <c r="AI356" s="189" t="n">
        <f aca="false">AI353*AI354/1000</f>
        <v>3051.89088258363</v>
      </c>
      <c r="AJ356" s="190"/>
      <c r="AK356" s="191"/>
      <c r="AL356" s="191"/>
      <c r="AM356" s="186" t="n">
        <f aca="false">AM353*AM354/1000</f>
        <v>5737.22688650307</v>
      </c>
      <c r="AN356" s="191"/>
      <c r="AO356" s="189" t="n">
        <f aca="false">AO353*AO354/1000</f>
        <v>212.968330674847</v>
      </c>
    </row>
    <row r="357" customFormat="false" ht="15" hidden="false" customHeight="true" outlineLevel="0" collapsed="false">
      <c r="A357" s="89" t="s">
        <v>176</v>
      </c>
      <c r="B357" s="89"/>
      <c r="C357" s="89"/>
      <c r="D357" s="192"/>
      <c r="E357" s="181"/>
      <c r="F357" s="181"/>
      <c r="G357" s="193"/>
      <c r="H357" s="184"/>
      <c r="I357" s="184"/>
      <c r="J357" s="184"/>
      <c r="K357" s="183" t="n">
        <v>0.0008438819</v>
      </c>
      <c r="L357" s="184"/>
      <c r="M357" s="184"/>
      <c r="N357" s="184"/>
      <c r="O357" s="184"/>
      <c r="P357" s="95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94" t="s">
        <v>170</v>
      </c>
      <c r="AB357" s="194"/>
      <c r="AC357" s="194"/>
      <c r="AD357" s="194"/>
      <c r="AE357" s="195" t="n">
        <f aca="false">AE355*AE356</f>
        <v>2000.65370869015</v>
      </c>
      <c r="AF357" s="196"/>
      <c r="AG357" s="197"/>
      <c r="AH357" s="197"/>
      <c r="AI357" s="198" t="n">
        <f aca="false">AI356*AI355</f>
        <v>686.675448581318</v>
      </c>
      <c r="AJ357" s="199"/>
      <c r="AK357" s="200"/>
      <c r="AL357" s="200"/>
      <c r="AM357" s="195" t="n">
        <f aca="false">AM355*AM356</f>
        <v>1514.62789803681</v>
      </c>
      <c r="AN357" s="200"/>
      <c r="AO357" s="201" t="n">
        <f aca="false">AO355*AO356</f>
        <v>0</v>
      </c>
    </row>
    <row r="358" customFormat="false" ht="14.25" hidden="false" customHeight="true" outlineLevel="0" collapsed="false">
      <c r="A358" s="89" t="s">
        <v>177</v>
      </c>
      <c r="B358" s="89"/>
      <c r="C358" s="89"/>
      <c r="D358" s="192"/>
      <c r="E358" s="181"/>
      <c r="F358" s="181"/>
      <c r="G358" s="193"/>
      <c r="H358" s="183" t="n">
        <f aca="false">H353</f>
        <v>4203.57962962963</v>
      </c>
      <c r="I358" s="184"/>
      <c r="J358" s="184"/>
      <c r="K358" s="183" t="n">
        <f aca="false">K353*K357</f>
        <v>0</v>
      </c>
      <c r="L358" s="184"/>
      <c r="M358" s="184"/>
      <c r="N358" s="184"/>
      <c r="O358" s="184"/>
      <c r="P358" s="183" t="n">
        <f aca="false">P353*27.2/11</f>
        <v>65902.1316402116</v>
      </c>
      <c r="Q358" s="184"/>
      <c r="R358" s="184"/>
      <c r="S358" s="183" t="n">
        <f aca="false">S353</f>
        <v>11246.7796984127</v>
      </c>
      <c r="T358" s="184"/>
      <c r="U358" s="184"/>
      <c r="V358" s="184"/>
      <c r="W358" s="184"/>
      <c r="X358" s="184"/>
      <c r="Y358" s="184"/>
      <c r="Z358" s="184"/>
    </row>
    <row r="359" customFormat="false" ht="14.25" hidden="false" customHeight="true" outlineLevel="0" collapsed="false">
      <c r="A359" s="89" t="s">
        <v>178</v>
      </c>
      <c r="B359" s="89"/>
      <c r="C359" s="89"/>
      <c r="D359" s="202"/>
      <c r="E359" s="181"/>
      <c r="F359" s="181"/>
      <c r="G359" s="203"/>
      <c r="H359" s="183" t="n">
        <f aca="false">H353*H356</f>
        <v>87014098.3333333</v>
      </c>
      <c r="I359" s="184"/>
      <c r="J359" s="184"/>
      <c r="K359" s="183" t="n">
        <f aca="false">K358*K356</f>
        <v>0</v>
      </c>
      <c r="L359" s="184"/>
      <c r="M359" s="184"/>
      <c r="N359" s="183" t="n">
        <f aca="false">N353*N356</f>
        <v>20302506</v>
      </c>
      <c r="O359" s="184"/>
      <c r="P359" s="184"/>
      <c r="Q359" s="184"/>
      <c r="R359" s="184"/>
      <c r="S359" s="183" t="n">
        <f aca="false">S353*S356</f>
        <v>175449763.295238</v>
      </c>
      <c r="T359" s="184"/>
      <c r="U359" s="184"/>
      <c r="V359" s="184"/>
      <c r="W359" s="184"/>
      <c r="X359" s="184"/>
      <c r="Y359" s="184"/>
      <c r="Z359" s="184"/>
    </row>
    <row r="360" customFormat="false" ht="14.25" hidden="false" customHeight="true" outlineLevel="0" collapsed="false">
      <c r="A360" s="96" t="s">
        <v>179</v>
      </c>
      <c r="B360" s="96"/>
      <c r="C360" s="96"/>
      <c r="D360" s="97"/>
      <c r="E360" s="204"/>
      <c r="F360" s="204"/>
      <c r="G360" s="205"/>
      <c r="H360" s="100" t="n">
        <f aca="false">H359*0.00027778</f>
        <v>24170.7762350333</v>
      </c>
      <c r="I360" s="215"/>
      <c r="J360" s="216"/>
      <c r="K360" s="100" t="n">
        <f aca="false">K359*0.00027778</f>
        <v>0</v>
      </c>
      <c r="L360" s="215"/>
      <c r="M360" s="215"/>
      <c r="N360" s="100" t="n">
        <f aca="false">N359*0.00027778</f>
        <v>5639.63011668</v>
      </c>
      <c r="O360" s="206"/>
      <c r="P360" s="189" t="n">
        <f aca="false">P358*P356/1000</f>
        <v>458.678836215873</v>
      </c>
      <c r="Q360" s="215"/>
      <c r="R360" s="215"/>
      <c r="S360" s="100" t="n">
        <f aca="false">S359*0.00027778</f>
        <v>48736.4352481512</v>
      </c>
      <c r="T360" s="215"/>
      <c r="U360" s="100" t="n">
        <f aca="false">U353*0.001</f>
        <v>174.946666666667</v>
      </c>
      <c r="V360" s="100" t="n">
        <f aca="false">V353*0.001</f>
        <v>0</v>
      </c>
      <c r="W360" s="100"/>
      <c r="X360" s="100"/>
      <c r="Y360" s="100" t="n">
        <f aca="false">Y353*0.001</f>
        <v>0</v>
      </c>
      <c r="Z360" s="100" t="n">
        <f aca="false">Z353</f>
        <v>7574.98113458393</v>
      </c>
    </row>
    <row r="363" customFormat="false" ht="14.25" hidden="false" customHeight="false" outlineLevel="0" collapsed="false">
      <c r="E363" s="217" t="n">
        <f aca="false">SUM(H360:Y360)/E353</f>
        <v>0.27430166458608</v>
      </c>
    </row>
  </sheetData>
  <mergeCells count="44">
    <mergeCell ref="A3:Z3"/>
    <mergeCell ref="A4:A6"/>
    <mergeCell ref="B4:B6"/>
    <mergeCell ref="C4:C6"/>
    <mergeCell ref="D4:D6"/>
    <mergeCell ref="E4:E5"/>
    <mergeCell ref="G4:G6"/>
    <mergeCell ref="H4:Q4"/>
    <mergeCell ref="R4:Y4"/>
    <mergeCell ref="AA4:AO4"/>
    <mergeCell ref="AQ4:AT5"/>
    <mergeCell ref="H5:I5"/>
    <mergeCell ref="K5:L5"/>
    <mergeCell ref="N5:O5"/>
    <mergeCell ref="R5:T5"/>
    <mergeCell ref="AA5:AA6"/>
    <mergeCell ref="AD5:AN5"/>
    <mergeCell ref="AP5:AP6"/>
    <mergeCell ref="A335:D335"/>
    <mergeCell ref="AA335:AD335"/>
    <mergeCell ref="A336:D336"/>
    <mergeCell ref="AA336:AD336"/>
    <mergeCell ref="A337:D337"/>
    <mergeCell ref="AA337:AD337"/>
    <mergeCell ref="A338:C338"/>
    <mergeCell ref="AA338:AD338"/>
    <mergeCell ref="A339:C339"/>
    <mergeCell ref="AA339:AD339"/>
    <mergeCell ref="A340:C340"/>
    <mergeCell ref="A341:C341"/>
    <mergeCell ref="A342:C342"/>
    <mergeCell ref="A353:D353"/>
    <mergeCell ref="AA353:AD353"/>
    <mergeCell ref="A354:D354"/>
    <mergeCell ref="AA354:AD354"/>
    <mergeCell ref="A355:D355"/>
    <mergeCell ref="AA355:AD355"/>
    <mergeCell ref="A356:C356"/>
    <mergeCell ref="AA356:AD356"/>
    <mergeCell ref="A357:C357"/>
    <mergeCell ref="AA357:AD357"/>
    <mergeCell ref="A358:C358"/>
    <mergeCell ref="A359:C359"/>
    <mergeCell ref="A360:C360"/>
  </mergeCells>
  <conditionalFormatting sqref="AA340:AO352 AD1:AO4 AD6:AO7 AA1:AC7 AA358:AO104857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4:AP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4">
    <dataValidation allowBlank="true" operator="between" showDropDown="false" showErrorMessage="true" showInputMessage="true" sqref="G8:G102 G247:G334" type="list">
      <formula1>$BG$46:$BG$48</formula1>
      <formula2>0</formula2>
    </dataValidation>
    <dataValidation allowBlank="true" operator="between" showDropDown="false" showErrorMessage="true" showInputMessage="true" sqref="B8:B46 B48:B334" type="list">
      <formula1>$BG$49:$BG$50</formula1>
      <formula2>0</formula2>
    </dataValidation>
    <dataValidation allowBlank="true" operator="between" showDropDown="false" showErrorMessage="true" showInputMessage="true" sqref="G103:G130" type="list">
      <formula1>$BK$46:$BK$48</formula1>
      <formula2>0</formula2>
    </dataValidation>
    <dataValidation allowBlank="true" operator="between" showDropDown="false" showErrorMessage="true" showInputMessage="true" sqref="G131:G174 G176:G182 G184:G246" type="list">
      <formula1>$BJ$46:$BJ$48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49"/>
  <sheetViews>
    <sheetView showFormulas="false" showGridLines="true" showRowColHeaders="true" showZeros="true" rightToLeft="false" tabSelected="false" showOutlineSymbols="true" defaultGridColor="true" view="normal" topLeftCell="J1" colorId="64" zoomScale="90" zoomScaleNormal="90" zoomScalePageLayoutView="100" workbookViewId="0">
      <pane xSplit="0" ySplit="4" topLeftCell="A5" activePane="bottomLeft" state="frozen"/>
      <selection pane="topLeft" activeCell="J1" activeCellId="0" sqref="J1"/>
      <selection pane="bottomLeft" activeCell="W21" activeCellId="0" sqref="W21"/>
    </sheetView>
  </sheetViews>
  <sheetFormatPr defaultRowHeight="14.25" zeroHeight="false" outlineLevelRow="0" outlineLevelCol="0"/>
  <cols>
    <col collapsed="false" customWidth="true" hidden="false" outlineLevel="0" max="1" min="1" style="0" width="5.51"/>
    <col collapsed="false" customWidth="true" hidden="false" outlineLevel="0" max="2" min="2" style="0" width="17.5"/>
    <col collapsed="false" customWidth="true" hidden="false" outlineLevel="0" max="3" min="3" style="0" width="23.62"/>
    <col collapsed="false" customWidth="true" hidden="true" outlineLevel="0" max="4" min="4" style="0" width="11"/>
    <col collapsed="false" customWidth="true" hidden="false" outlineLevel="0" max="6" min="5" style="0" width="15.38"/>
    <col collapsed="false" customWidth="true" hidden="true" outlineLevel="0" max="7" min="7" style="0" width="17.38"/>
    <col collapsed="false" customWidth="true" hidden="false" outlineLevel="0" max="9" min="8" style="0" width="11.25"/>
    <col collapsed="false" customWidth="true" hidden="false" outlineLevel="0" max="10" min="10" style="0" width="11.75"/>
    <col collapsed="false" customWidth="true" hidden="false" outlineLevel="0" max="12" min="11" style="0" width="11"/>
    <col collapsed="false" customWidth="true" hidden="false" outlineLevel="0" max="20" min="13" style="0" width="12"/>
    <col collapsed="false" customWidth="true" hidden="false" outlineLevel="0" max="21" min="21" style="0" width="13.63"/>
    <col collapsed="false" customWidth="true" hidden="false" outlineLevel="0" max="22" min="22" style="0" width="12"/>
    <col collapsed="false" customWidth="true" hidden="false" outlineLevel="0" max="23" min="23" style="0" width="16.62"/>
    <col collapsed="false" customWidth="true" hidden="false" outlineLevel="0" max="24" min="24" style="0" width="12"/>
    <col collapsed="false" customWidth="true" hidden="false" outlineLevel="0" max="25" min="25" style="0" width="14"/>
    <col collapsed="false" customWidth="true" hidden="false" outlineLevel="0" max="26" min="26" style="0" width="12.38"/>
    <col collapsed="false" customWidth="true" hidden="false" outlineLevel="0" max="27" min="27" style="0" width="11.62"/>
    <col collapsed="false" customWidth="true" hidden="false" outlineLevel="0" max="28" min="28" style="0" width="11"/>
    <col collapsed="false" customWidth="true" hidden="false" outlineLevel="0" max="29" min="29" style="0" width="12.87"/>
    <col collapsed="false" customWidth="true" hidden="false" outlineLevel="0" max="31" min="30" style="0" width="11"/>
    <col collapsed="false" customWidth="true" hidden="false" outlineLevel="0" max="32" min="32" style="0" width="12.25"/>
    <col collapsed="false" customWidth="true" hidden="false" outlineLevel="0" max="33" min="33" style="0" width="11.13"/>
    <col collapsed="false" customWidth="true" hidden="false" outlineLevel="0" max="34" min="34" style="0" width="11.62"/>
    <col collapsed="false" customWidth="true" hidden="false" outlineLevel="0" max="35" min="35" style="0" width="13.5"/>
    <col collapsed="false" customWidth="true" hidden="false" outlineLevel="0" max="37" min="36" style="0" width="12"/>
    <col collapsed="false" customWidth="true" hidden="true" outlineLevel="0" max="38" min="38" style="0" width="12"/>
    <col collapsed="false" customWidth="true" hidden="false" outlineLevel="0" max="40" min="39" style="0" width="14.75"/>
    <col collapsed="false" customWidth="true" hidden="false" outlineLevel="0" max="41" min="41" style="0" width="14.62"/>
    <col collapsed="false" customWidth="true" hidden="false" outlineLevel="0" max="42" min="42" style="0" width="16.25"/>
    <col collapsed="false" customWidth="true" hidden="false" outlineLevel="0" max="43" min="43" style="0" width="20.5"/>
    <col collapsed="false" customWidth="true" hidden="false" outlineLevel="0" max="1025" min="44" style="0" width="8.61"/>
  </cols>
  <sheetData>
    <row r="1" customFormat="false" ht="16.5" hidden="false" customHeight="false" outlineLevel="0" collapsed="false">
      <c r="A1" s="218" t="s">
        <v>270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customFormat="false" ht="16.5" hidden="false" customHeight="true" outlineLevel="0" collapsed="false">
      <c r="A2" s="219" t="s">
        <v>2</v>
      </c>
      <c r="B2" s="219" t="s">
        <v>181</v>
      </c>
      <c r="C2" s="219" t="s">
        <v>182</v>
      </c>
      <c r="D2" s="103" t="s">
        <v>271</v>
      </c>
      <c r="E2" s="103" t="s">
        <v>184</v>
      </c>
      <c r="F2" s="104"/>
      <c r="G2" s="103" t="s">
        <v>185</v>
      </c>
      <c r="H2" s="8" t="s">
        <v>7</v>
      </c>
      <c r="I2" s="8"/>
      <c r="J2" s="8"/>
      <c r="K2" s="8"/>
      <c r="L2" s="8"/>
      <c r="M2" s="8"/>
      <c r="N2" s="8"/>
      <c r="O2" s="8"/>
      <c r="P2" s="8"/>
      <c r="Q2" s="8"/>
      <c r="R2" s="10"/>
      <c r="S2" s="8" t="s">
        <v>186</v>
      </c>
      <c r="T2" s="8"/>
      <c r="U2" s="8"/>
      <c r="V2" s="8"/>
      <c r="W2" s="8"/>
      <c r="X2" s="105"/>
      <c r="Y2" s="12" t="s">
        <v>272</v>
      </c>
      <c r="Z2" s="106" t="s">
        <v>187</v>
      </c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220"/>
      <c r="AN2" s="107"/>
      <c r="AO2" s="107"/>
      <c r="AP2" s="107"/>
      <c r="AQ2" s="107"/>
    </row>
    <row r="3" customFormat="false" ht="46.5" hidden="false" customHeight="true" outlineLevel="0" collapsed="false">
      <c r="A3" s="219"/>
      <c r="B3" s="219"/>
      <c r="C3" s="219"/>
      <c r="D3" s="103"/>
      <c r="E3" s="103"/>
      <c r="F3" s="221" t="s">
        <v>188</v>
      </c>
      <c r="G3" s="103" t="s">
        <v>185</v>
      </c>
      <c r="H3" s="8" t="s">
        <v>14</v>
      </c>
      <c r="I3" s="8"/>
      <c r="J3" s="5" t="s">
        <v>189</v>
      </c>
      <c r="K3" s="8" t="s">
        <v>17</v>
      </c>
      <c r="L3" s="8"/>
      <c r="M3" s="8" t="s">
        <v>15</v>
      </c>
      <c r="N3" s="8"/>
      <c r="O3" s="8"/>
      <c r="P3" s="5" t="s">
        <v>190</v>
      </c>
      <c r="Q3" s="5" t="s">
        <v>18</v>
      </c>
      <c r="R3" s="8" t="s">
        <v>191</v>
      </c>
      <c r="S3" s="8"/>
      <c r="T3" s="8"/>
      <c r="U3" s="5" t="s">
        <v>22</v>
      </c>
      <c r="V3" s="5" t="s">
        <v>192</v>
      </c>
      <c r="W3" s="5" t="s">
        <v>193</v>
      </c>
      <c r="X3" s="5" t="s">
        <v>194</v>
      </c>
      <c r="Y3" s="12"/>
      <c r="Z3" s="222" t="s">
        <v>195</v>
      </c>
      <c r="AA3" s="106" t="s">
        <v>196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 t="s">
        <v>273</v>
      </c>
      <c r="AM3" s="220" t="s">
        <v>197</v>
      </c>
      <c r="AN3" s="107"/>
      <c r="AO3" s="107"/>
      <c r="AP3" s="107"/>
      <c r="AQ3" s="107"/>
    </row>
    <row r="4" customFormat="false" ht="45.75" hidden="false" customHeight="false" outlineLevel="0" collapsed="false">
      <c r="A4" s="219"/>
      <c r="B4" s="219"/>
      <c r="C4" s="219"/>
      <c r="D4" s="103"/>
      <c r="E4" s="219" t="s">
        <v>30</v>
      </c>
      <c r="F4" s="221" t="s">
        <v>198</v>
      </c>
      <c r="G4" s="103"/>
      <c r="H4" s="219" t="s">
        <v>27</v>
      </c>
      <c r="I4" s="219" t="s">
        <v>26</v>
      </c>
      <c r="J4" s="219" t="s">
        <v>26</v>
      </c>
      <c r="K4" s="219" t="s">
        <v>29</v>
      </c>
      <c r="L4" s="219" t="s">
        <v>26</v>
      </c>
      <c r="M4" s="219" t="s">
        <v>199</v>
      </c>
      <c r="N4" s="219" t="s">
        <v>28</v>
      </c>
      <c r="O4" s="219" t="s">
        <v>26</v>
      </c>
      <c r="P4" s="219" t="s">
        <v>200</v>
      </c>
      <c r="Q4" s="219"/>
      <c r="R4" s="219" t="s">
        <v>28</v>
      </c>
      <c r="S4" s="219" t="s">
        <v>27</v>
      </c>
      <c r="T4" s="219" t="s">
        <v>26</v>
      </c>
      <c r="U4" s="219" t="s">
        <v>26</v>
      </c>
      <c r="V4" s="219" t="s">
        <v>274</v>
      </c>
      <c r="W4" s="219" t="s">
        <v>26</v>
      </c>
      <c r="X4" s="219" t="s">
        <v>199</v>
      </c>
      <c r="Y4" s="223" t="s">
        <v>26</v>
      </c>
      <c r="Z4" s="222"/>
      <c r="AA4" s="222" t="s">
        <v>204</v>
      </c>
      <c r="AB4" s="224" t="s">
        <v>205</v>
      </c>
      <c r="AC4" s="220" t="s">
        <v>206</v>
      </c>
      <c r="AD4" s="224" t="s">
        <v>208</v>
      </c>
      <c r="AE4" s="224" t="s">
        <v>209</v>
      </c>
      <c r="AF4" s="220" t="s">
        <v>210</v>
      </c>
      <c r="AG4" s="220" t="s">
        <v>212</v>
      </c>
      <c r="AH4" s="220" t="s">
        <v>213</v>
      </c>
      <c r="AI4" s="220" t="s">
        <v>214</v>
      </c>
      <c r="AJ4" s="224" t="s">
        <v>215</v>
      </c>
      <c r="AK4" s="220" t="s">
        <v>216</v>
      </c>
      <c r="AL4" s="225" t="s">
        <v>217</v>
      </c>
      <c r="AM4" s="226" t="s">
        <v>217</v>
      </c>
      <c r="AN4" s="111" t="s">
        <v>218</v>
      </c>
      <c r="AO4" s="112" t="s">
        <v>219</v>
      </c>
      <c r="AP4" s="112" t="s">
        <v>220</v>
      </c>
      <c r="AQ4" s="112" t="s">
        <v>18</v>
      </c>
    </row>
    <row r="5" customFormat="false" ht="14.25" hidden="false" customHeight="false" outlineLevel="0" collapsed="false">
      <c r="A5" s="227" t="s">
        <v>45</v>
      </c>
      <c r="B5" s="227" t="s">
        <v>46</v>
      </c>
      <c r="C5" s="227" t="s">
        <v>47</v>
      </c>
      <c r="D5" s="227" t="s">
        <v>49</v>
      </c>
      <c r="E5" s="227" t="s">
        <v>50</v>
      </c>
      <c r="F5" s="227" t="s">
        <v>51</v>
      </c>
      <c r="G5" s="227" t="s">
        <v>52</v>
      </c>
      <c r="H5" s="227" t="s">
        <v>54</v>
      </c>
      <c r="I5" s="227" t="s">
        <v>55</v>
      </c>
      <c r="J5" s="227" t="s">
        <v>56</v>
      </c>
      <c r="K5" s="227" t="s">
        <v>58</v>
      </c>
      <c r="L5" s="227" t="s">
        <v>228</v>
      </c>
      <c r="M5" s="227" t="s">
        <v>59</v>
      </c>
      <c r="N5" s="227" t="s">
        <v>62</v>
      </c>
      <c r="O5" s="227" t="s">
        <v>63</v>
      </c>
      <c r="P5" s="227" t="s">
        <v>64</v>
      </c>
      <c r="Q5" s="227" t="s">
        <v>65</v>
      </c>
      <c r="R5" s="227" t="s">
        <v>66</v>
      </c>
      <c r="S5" s="227" t="s">
        <v>68</v>
      </c>
      <c r="T5" s="227" t="s">
        <v>275</v>
      </c>
      <c r="U5" s="227" t="s">
        <v>69</v>
      </c>
      <c r="V5" s="227" t="s">
        <v>70</v>
      </c>
      <c r="W5" s="227" t="s">
        <v>276</v>
      </c>
      <c r="X5" s="227" t="s">
        <v>277</v>
      </c>
      <c r="Y5" s="227" t="s">
        <v>278</v>
      </c>
      <c r="Z5" s="227" t="s">
        <v>45</v>
      </c>
      <c r="AA5" s="227" t="s">
        <v>46</v>
      </c>
      <c r="AB5" s="227" t="s">
        <v>47</v>
      </c>
      <c r="AC5" s="227" t="s">
        <v>49</v>
      </c>
      <c r="AD5" s="227" t="s">
        <v>50</v>
      </c>
      <c r="AE5" s="227" t="s">
        <v>52</v>
      </c>
      <c r="AF5" s="227" t="s">
        <v>54</v>
      </c>
      <c r="AG5" s="227" t="s">
        <v>56</v>
      </c>
      <c r="AH5" s="227" t="s">
        <v>58</v>
      </c>
      <c r="AI5" s="227" t="s">
        <v>59</v>
      </c>
      <c r="AJ5" s="227" t="s">
        <v>62</v>
      </c>
      <c r="AK5" s="227" t="s">
        <v>64</v>
      </c>
      <c r="AL5" s="227" t="s">
        <v>65</v>
      </c>
      <c r="AM5" s="227" t="s">
        <v>66</v>
      </c>
      <c r="AN5" s="227" t="s">
        <v>45</v>
      </c>
      <c r="AO5" s="227" t="s">
        <v>46</v>
      </c>
      <c r="AP5" s="227" t="s">
        <v>47</v>
      </c>
      <c r="AQ5" s="227" t="s">
        <v>49</v>
      </c>
    </row>
    <row r="6" customFormat="false" ht="14.25" hidden="false" customHeight="false" outlineLevel="0" collapsed="false">
      <c r="A6" s="29" t="n">
        <v>1</v>
      </c>
      <c r="B6" s="228" t="s">
        <v>255</v>
      </c>
      <c r="C6" s="44" t="s">
        <v>259</v>
      </c>
      <c r="D6" s="29"/>
      <c r="E6" s="29" t="n">
        <v>100</v>
      </c>
      <c r="F6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0</v>
      </c>
      <c r="G6" s="44"/>
      <c r="H6" s="29"/>
      <c r="I6" s="120" t="n">
        <f aca="false">Tabela8[[#This Row],[Kolumna7]]*20700*0.27778</f>
        <v>0</v>
      </c>
      <c r="J6" s="29"/>
      <c r="K6" s="29"/>
      <c r="L6" s="29" t="n">
        <f aca="false">Tabela8[[#This Row],[Kolumna9]]*0.000843882*40190*0.27778</f>
        <v>0</v>
      </c>
      <c r="M6" s="29"/>
      <c r="N6" s="120"/>
      <c r="O6" s="120" t="n">
        <f aca="false">Tabela8[[#This Row],[Kolumna11]]*35.94*0.27778</f>
        <v>0</v>
      </c>
      <c r="P6" s="29"/>
      <c r="Q6" s="29"/>
      <c r="R6" s="29"/>
      <c r="S6" s="29" t="n">
        <f aca="false">Tabela8[[#This Row],[Kolumna14]]*0.65</f>
        <v>0</v>
      </c>
      <c r="T6" s="120" t="n">
        <f aca="false">Tabela8[[#This Row],[Kolumna15]]*15600*0.27778</f>
        <v>0</v>
      </c>
      <c r="U6" s="29"/>
      <c r="V6" s="29"/>
      <c r="W6" s="29"/>
      <c r="X6" s="29" t="n">
        <f aca="false">4000*12</f>
        <v>48000</v>
      </c>
      <c r="Y6" s="120" t="n">
        <f aca="false">Tabela8[[#This Row],[Kolumna20]]/0.55</f>
        <v>87272.7272727273</v>
      </c>
      <c r="Z6" s="29"/>
      <c r="AA6" s="29"/>
      <c r="AB6" s="29"/>
      <c r="AC6" s="120" t="n">
        <f aca="false">Tabela9[[#This Row],[Kolumna3]]*Tabela9[[#This Row],[Kolumna14]]</f>
        <v>0</v>
      </c>
      <c r="AD6" s="29"/>
      <c r="AE6" s="29"/>
      <c r="AF6" s="29"/>
      <c r="AG6" s="29" t="n">
        <f aca="false">1500*12</f>
        <v>18000</v>
      </c>
      <c r="AH6" s="120" t="n">
        <f aca="false">Tabela9[[#This Row],[Kolumna8]]/4.2</f>
        <v>4285.71428571429</v>
      </c>
      <c r="AI6" s="120" t="n">
        <f aca="false">Tabela9[[#This Row],[Kolumna9]]*Tabela9[[#This Row],[Kolumna14]]</f>
        <v>428.571428571429</v>
      </c>
      <c r="AJ6" s="29"/>
      <c r="AK6" s="29"/>
      <c r="AL6" s="29"/>
      <c r="AM6" s="53" t="n">
        <v>0.1</v>
      </c>
      <c r="AN6" s="29"/>
      <c r="AO6" s="29"/>
      <c r="AP6" s="29"/>
      <c r="AQ6" s="29"/>
    </row>
    <row r="7" customFormat="false" ht="15.75" hidden="false" customHeight="true" outlineLevel="0" collapsed="false">
      <c r="A7" s="29" t="n">
        <v>2</v>
      </c>
      <c r="B7" s="228" t="s">
        <v>255</v>
      </c>
      <c r="C7" s="29" t="s">
        <v>242</v>
      </c>
      <c r="D7" s="29"/>
      <c r="E7" s="29" t="n">
        <v>40</v>
      </c>
      <c r="F7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639.58845</v>
      </c>
      <c r="G7" s="44"/>
      <c r="H7" s="29" t="n">
        <v>2</v>
      </c>
      <c r="I7" s="120" t="n">
        <f aca="false">Tabela8[[#This Row],[Kolumna7]]*20700*0.27778</f>
        <v>11500.092</v>
      </c>
      <c r="J7" s="29"/>
      <c r="K7" s="29"/>
      <c r="L7" s="29" t="n">
        <f aca="false">Tabela8[[#This Row],[Kolumna9]]*0.000843882*40190*0.27778</f>
        <v>0</v>
      </c>
      <c r="M7" s="29"/>
      <c r="N7" s="120"/>
      <c r="O7" s="120" t="n">
        <f aca="false">Tabela8[[#This Row],[Kolumna11]]*35.94*0.27778</f>
        <v>0</v>
      </c>
      <c r="P7" s="29"/>
      <c r="Q7" s="29"/>
      <c r="R7" s="29" t="n">
        <v>5</v>
      </c>
      <c r="S7" s="29" t="n">
        <f aca="false">Tabela8[[#This Row],[Kolumna14]]*0.65</f>
        <v>3.25</v>
      </c>
      <c r="T7" s="120" t="n">
        <f aca="false">Tabela8[[#This Row],[Kolumna15]]*15600*0.27778</f>
        <v>14083.446</v>
      </c>
      <c r="U7" s="29"/>
      <c r="V7" s="29"/>
      <c r="W7" s="29"/>
      <c r="X7" s="29" t="n">
        <f aca="false">80*12</f>
        <v>960</v>
      </c>
      <c r="Y7" s="120" t="n">
        <f aca="false">Tabela8[[#This Row],[Kolumna20]]/0.55</f>
        <v>1745.45454545455</v>
      </c>
      <c r="Z7" s="29"/>
      <c r="AA7" s="29"/>
      <c r="AB7" s="29"/>
      <c r="AC7" s="120" t="n">
        <f aca="false">Tabela9[[#This Row],[Kolumna3]]*Tabela9[[#This Row],[Kolumna14]]</f>
        <v>0</v>
      </c>
      <c r="AD7" s="29"/>
      <c r="AE7" s="29"/>
      <c r="AF7" s="29"/>
      <c r="AG7" s="29" t="n">
        <f aca="false">400*12</f>
        <v>4800</v>
      </c>
      <c r="AH7" s="120" t="n">
        <f aca="false">Tabela9[[#This Row],[Kolumna8]]/4.2</f>
        <v>1142.85714285714</v>
      </c>
      <c r="AI7" s="120" t="n">
        <f aca="false">Tabela9[[#This Row],[Kolumna9]]*Tabela9[[#This Row],[Kolumna14]]</f>
        <v>114.285714285714</v>
      </c>
      <c r="AJ7" s="29"/>
      <c r="AK7" s="29"/>
      <c r="AL7" s="29"/>
      <c r="AM7" s="53" t="n">
        <v>0.1</v>
      </c>
      <c r="AN7" s="29"/>
      <c r="AO7" s="29"/>
      <c r="AP7" s="29"/>
      <c r="AQ7" s="29"/>
    </row>
    <row r="8" customFormat="false" ht="14.25" hidden="false" customHeight="false" outlineLevel="0" collapsed="false">
      <c r="A8" s="29" t="n">
        <v>3</v>
      </c>
      <c r="B8" s="228" t="s">
        <v>255</v>
      </c>
      <c r="C8" s="29" t="s">
        <v>242</v>
      </c>
      <c r="D8" s="29"/>
      <c r="E8" s="29" t="n">
        <v>400</v>
      </c>
      <c r="F8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100.625805</v>
      </c>
      <c r="G8" s="44"/>
      <c r="H8" s="29" t="n">
        <v>7</v>
      </c>
      <c r="I8" s="120" t="n">
        <f aca="false">Tabela8[[#This Row],[Kolumna7]]*20700*0.27778</f>
        <v>40250.322</v>
      </c>
      <c r="J8" s="29"/>
      <c r="K8" s="29"/>
      <c r="L8" s="29" t="n">
        <f aca="false">Tabela8[[#This Row],[Kolumna9]]*0.000843882*40190*0.27778</f>
        <v>0</v>
      </c>
      <c r="M8" s="29"/>
      <c r="N8" s="120"/>
      <c r="O8" s="120" t="n">
        <f aca="false">Tabela8[[#This Row],[Kolumna11]]*35.94*0.27778</f>
        <v>0</v>
      </c>
      <c r="P8" s="29"/>
      <c r="Q8" s="29"/>
      <c r="R8" s="29"/>
      <c r="S8" s="29" t="n">
        <f aca="false">Tabela8[[#This Row],[Kolumna14]]*0.65</f>
        <v>0</v>
      </c>
      <c r="T8" s="120" t="n">
        <f aca="false">Tabela8[[#This Row],[Kolumna15]]*15600*0.27778</f>
        <v>0</v>
      </c>
      <c r="U8" s="29"/>
      <c r="V8" s="29"/>
      <c r="W8" s="29"/>
      <c r="X8" s="29" t="n">
        <f aca="false">3000*12</f>
        <v>36000</v>
      </c>
      <c r="Y8" s="120" t="n">
        <f aca="false">Tabela8[[#This Row],[Kolumna20]]/0.55</f>
        <v>65454.5454545455</v>
      </c>
      <c r="Z8" s="29"/>
      <c r="AA8" s="29"/>
      <c r="AB8" s="29"/>
      <c r="AC8" s="120" t="n">
        <f aca="false">Tabela9[[#This Row],[Kolumna3]]*Tabela9[[#This Row],[Kolumna14]]</f>
        <v>0</v>
      </c>
      <c r="AD8" s="29"/>
      <c r="AE8" s="29"/>
      <c r="AF8" s="29"/>
      <c r="AG8" s="29" t="n">
        <f aca="false">2500*12</f>
        <v>30000</v>
      </c>
      <c r="AH8" s="120" t="n">
        <f aca="false">Tabela9[[#This Row],[Kolumna8]]/4.2</f>
        <v>7142.85714285714</v>
      </c>
      <c r="AI8" s="120" t="n">
        <f aca="false">Tabela9[[#This Row],[Kolumna9]]*Tabela9[[#This Row],[Kolumna14]]</f>
        <v>357.142857142857</v>
      </c>
      <c r="AJ8" s="29"/>
      <c r="AK8" s="29"/>
      <c r="AL8" s="53"/>
      <c r="AM8" s="53" t="n">
        <v>0.05</v>
      </c>
      <c r="AN8" s="29"/>
      <c r="AO8" s="29"/>
      <c r="AP8" s="29"/>
      <c r="AQ8" s="29"/>
    </row>
    <row r="9" customFormat="false" ht="14.25" hidden="false" customHeight="false" outlineLevel="0" collapsed="false">
      <c r="A9" s="29" t="n">
        <v>4</v>
      </c>
      <c r="B9" s="228" t="s">
        <v>255</v>
      </c>
      <c r="C9" s="29" t="s">
        <v>242</v>
      </c>
      <c r="D9" s="29"/>
      <c r="E9" s="29" t="n">
        <v>400</v>
      </c>
      <c r="F9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176.17788</v>
      </c>
      <c r="G9" s="44"/>
      <c r="H9" s="29"/>
      <c r="I9" s="120" t="n">
        <f aca="false">Tabela8[[#This Row],[Kolumna7]]*20700*0.27778</f>
        <v>0</v>
      </c>
      <c r="J9" s="29"/>
      <c r="K9" s="29"/>
      <c r="L9" s="29" t="n">
        <f aca="false">Tabela8[[#This Row],[Kolumna9]]*0.000843882*40190*0.27778</f>
        <v>0</v>
      </c>
      <c r="M9" s="29" t="n">
        <f aca="false">1500*12</f>
        <v>18000</v>
      </c>
      <c r="N9" s="120" t="n">
        <f aca="false">Tabela8[[#This Row],[Kolumna10]]/2.55</f>
        <v>7058.82352941176</v>
      </c>
      <c r="O9" s="120" t="n">
        <f aca="false">Tabela8[[#This Row],[Kolumna11]]*35.94*0.27778</f>
        <v>70471.152</v>
      </c>
      <c r="P9" s="29"/>
      <c r="Q9" s="29"/>
      <c r="R9" s="29"/>
      <c r="S9" s="29" t="n">
        <f aca="false">Tabela8[[#This Row],[Kolumna14]]*0.65</f>
        <v>0</v>
      </c>
      <c r="T9" s="120" t="n">
        <f aca="false">Tabela8[[#This Row],[Kolumna15]]*15600*0.27778</f>
        <v>0</v>
      </c>
      <c r="U9" s="29"/>
      <c r="V9" s="29"/>
      <c r="W9" s="29"/>
      <c r="X9" s="29" t="n">
        <f aca="false">1500*12</f>
        <v>18000</v>
      </c>
      <c r="Y9" s="120" t="n">
        <f aca="false">Tabela8[[#This Row],[Kolumna20]]/0.55</f>
        <v>32727.2727272727</v>
      </c>
      <c r="Z9" s="29"/>
      <c r="AA9" s="29"/>
      <c r="AB9" s="29"/>
      <c r="AC9" s="120" t="n">
        <f aca="false">Tabela9[[#This Row],[Kolumna3]]*Tabela9[[#This Row],[Kolumna14]]</f>
        <v>0</v>
      </c>
      <c r="AD9" s="29"/>
      <c r="AE9" s="29"/>
      <c r="AF9" s="29"/>
      <c r="AG9" s="29" t="n">
        <v>12000</v>
      </c>
      <c r="AH9" s="120" t="n">
        <f aca="false">Tabela9[[#This Row],[Kolumna8]]/4.2</f>
        <v>2857.14285714286</v>
      </c>
      <c r="AI9" s="120" t="n">
        <f aca="false">Tabela9[[#This Row],[Kolumna9]]*Tabela9[[#This Row],[Kolumna14]]</f>
        <v>285.714285714286</v>
      </c>
      <c r="AJ9" s="29"/>
      <c r="AK9" s="29"/>
      <c r="AL9" s="53"/>
      <c r="AM9" s="53" t="n">
        <v>0.1</v>
      </c>
      <c r="AN9" s="29"/>
      <c r="AO9" s="29"/>
      <c r="AP9" s="29"/>
      <c r="AQ9" s="29"/>
    </row>
    <row r="10" customFormat="false" ht="14.25" hidden="false" customHeight="false" outlineLevel="0" collapsed="false">
      <c r="A10" s="29" t="n">
        <v>5</v>
      </c>
      <c r="B10" s="228" t="s">
        <v>255</v>
      </c>
      <c r="C10" s="29" t="s">
        <v>242</v>
      </c>
      <c r="D10" s="29"/>
      <c r="E10" s="29" t="n">
        <v>88</v>
      </c>
      <c r="F10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192.046990909091</v>
      </c>
      <c r="G10" s="44"/>
      <c r="H10" s="29"/>
      <c r="I10" s="120" t="n">
        <f aca="false">Tabela8[[#This Row],[Kolumna7]]*20700*0.27778</f>
        <v>0</v>
      </c>
      <c r="J10" s="29"/>
      <c r="K10" s="29"/>
      <c r="L10" s="29" t="n">
        <f aca="false">Tabela8[[#This Row],[Kolumna9]]*0.000843882*40190*0.27778</f>
        <v>0</v>
      </c>
      <c r="M10" s="29"/>
      <c r="N10" s="120"/>
      <c r="O10" s="120" t="n">
        <f aca="false">Tabela8[[#This Row],[Kolumna11]]*35.94*0.27778</f>
        <v>0</v>
      </c>
      <c r="P10" s="29"/>
      <c r="Q10" s="29"/>
      <c r="R10" s="29" t="n">
        <v>6</v>
      </c>
      <c r="S10" s="29" t="n">
        <f aca="false">Tabela8[[#This Row],[Kolumna14]]*0.65</f>
        <v>3.9</v>
      </c>
      <c r="T10" s="120" t="n">
        <f aca="false">Tabela8[[#This Row],[Kolumna15]]*15600*0.27778</f>
        <v>16900.1352</v>
      </c>
      <c r="U10" s="29"/>
      <c r="V10" s="29"/>
      <c r="W10" s="29"/>
      <c r="X10" s="29" t="n">
        <f aca="false">700*12</f>
        <v>8400</v>
      </c>
      <c r="Y10" s="120" t="n">
        <f aca="false">Tabela8[[#This Row],[Kolumna20]]/0.55</f>
        <v>15272.7272727273</v>
      </c>
      <c r="Z10" s="29"/>
      <c r="AA10" s="29"/>
      <c r="AB10" s="29"/>
      <c r="AC10" s="120" t="n">
        <f aca="false">Tabela9[[#This Row],[Kolumna3]]*Tabela9[[#This Row],[Kolumna14]]</f>
        <v>0</v>
      </c>
      <c r="AD10" s="29"/>
      <c r="AE10" s="29"/>
      <c r="AF10" s="29"/>
      <c r="AG10" s="29"/>
      <c r="AH10" s="120" t="n">
        <f aca="false">Tabela9[[#This Row],[Kolumna8]]/4.2</f>
        <v>0</v>
      </c>
      <c r="AI10" s="120" t="n">
        <f aca="false">Tabela9[[#This Row],[Kolumna9]]*Tabela9[[#This Row],[Kolumna14]]</f>
        <v>0</v>
      </c>
      <c r="AJ10" s="29"/>
      <c r="AK10" s="29"/>
      <c r="AL10" s="53"/>
      <c r="AM10" s="29"/>
      <c r="AN10" s="29"/>
      <c r="AO10" s="29"/>
      <c r="AP10" s="29"/>
      <c r="AQ10" s="29"/>
    </row>
    <row r="11" customFormat="false" ht="14.25" hidden="false" customHeight="false" outlineLevel="0" collapsed="false">
      <c r="A11" s="29" t="n">
        <v>6</v>
      </c>
      <c r="B11" s="228" t="s">
        <v>255</v>
      </c>
      <c r="C11" s="29" t="s">
        <v>242</v>
      </c>
      <c r="D11" s="29"/>
      <c r="E11" s="29" t="n">
        <v>20</v>
      </c>
      <c r="F11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0</v>
      </c>
      <c r="G11" s="44"/>
      <c r="H11" s="29"/>
      <c r="I11" s="120" t="n">
        <f aca="false">Tabela8[[#This Row],[Kolumna7]]*20700*0.27778</f>
        <v>0</v>
      </c>
      <c r="J11" s="29"/>
      <c r="K11" s="29"/>
      <c r="L11" s="29" t="n">
        <f aca="false">Tabela8[[#This Row],[Kolumna9]]*0.000843882*40190*0.27778</f>
        <v>0</v>
      </c>
      <c r="M11" s="29"/>
      <c r="N11" s="120"/>
      <c r="O11" s="120" t="n">
        <f aca="false">Tabela8[[#This Row],[Kolumna11]]*35.94*0.27778</f>
        <v>0</v>
      </c>
      <c r="P11" s="29"/>
      <c r="Q11" s="29"/>
      <c r="R11" s="29"/>
      <c r="S11" s="29" t="n">
        <f aca="false">Tabela8[[#This Row],[Kolumna14]]*0.65</f>
        <v>0</v>
      </c>
      <c r="T11" s="120" t="n">
        <f aca="false">Tabela8[[#This Row],[Kolumna15]]*15600*0.27778</f>
        <v>0</v>
      </c>
      <c r="U11" s="29"/>
      <c r="V11" s="29"/>
      <c r="W11" s="29"/>
      <c r="X11" s="29" t="n">
        <f aca="false">(300*6)+(60*6)</f>
        <v>2160</v>
      </c>
      <c r="Y11" s="120" t="n">
        <f aca="false">Tabela8[[#This Row],[Kolumna20]]/0.55</f>
        <v>3927.27272727273</v>
      </c>
      <c r="Z11" s="29"/>
      <c r="AA11" s="29"/>
      <c r="AB11" s="29"/>
      <c r="AC11" s="120" t="n">
        <f aca="false">Tabela9[[#This Row],[Kolumna3]]*Tabela9[[#This Row],[Kolumna14]]</f>
        <v>0</v>
      </c>
      <c r="AD11" s="29"/>
      <c r="AE11" s="29"/>
      <c r="AF11" s="29"/>
      <c r="AG11" s="29" t="n">
        <f aca="false">500*12</f>
        <v>6000</v>
      </c>
      <c r="AH11" s="120" t="n">
        <f aca="false">Tabela9[[#This Row],[Kolumna8]]/4.2</f>
        <v>1428.57142857143</v>
      </c>
      <c r="AI11" s="120" t="n">
        <f aca="false">Tabela9[[#This Row],[Kolumna9]]*Tabela9[[#This Row],[Kolumna14]]</f>
        <v>857.142857142857</v>
      </c>
      <c r="AJ11" s="29"/>
      <c r="AK11" s="29"/>
      <c r="AL11" s="53"/>
      <c r="AM11" s="53" t="n">
        <v>0.6</v>
      </c>
      <c r="AN11" s="29"/>
      <c r="AO11" s="29"/>
      <c r="AP11" s="29"/>
      <c r="AQ11" s="29"/>
    </row>
    <row r="12" customFormat="false" ht="14.25" hidden="false" customHeight="false" outlineLevel="0" collapsed="false">
      <c r="A12" s="29" t="n">
        <v>7</v>
      </c>
      <c r="B12" s="228" t="s">
        <v>255</v>
      </c>
      <c r="C12" s="29" t="s">
        <v>242</v>
      </c>
      <c r="D12" s="29"/>
      <c r="E12" s="29" t="n">
        <v>110</v>
      </c>
      <c r="F12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0</v>
      </c>
      <c r="G12" s="44"/>
      <c r="H12" s="29"/>
      <c r="I12" s="120" t="n">
        <f aca="false">Tabela8[[#This Row],[Kolumna7]]*20700*0.27778</f>
        <v>0</v>
      </c>
      <c r="J12" s="29"/>
      <c r="K12" s="29"/>
      <c r="L12" s="29" t="n">
        <f aca="false">Tabela8[[#This Row],[Kolumna9]]*0.000843882*40190*0.27778</f>
        <v>0</v>
      </c>
      <c r="M12" s="29"/>
      <c r="N12" s="29"/>
      <c r="O12" s="120" t="n">
        <f aca="false">Tabela8[[#This Row],[Kolumna11]]*35.94*0.27778</f>
        <v>0</v>
      </c>
      <c r="P12" s="29"/>
      <c r="Q12" s="29"/>
      <c r="R12" s="29"/>
      <c r="S12" s="29" t="n">
        <f aca="false">Tabela8[[#This Row],[Kolumna14]]*0.65</f>
        <v>0</v>
      </c>
      <c r="T12" s="120" t="n">
        <f aca="false">Tabela8[[#This Row],[Kolumna15]]*15600*0.27778</f>
        <v>0</v>
      </c>
      <c r="U12" s="29"/>
      <c r="V12" s="29"/>
      <c r="W12" s="29"/>
      <c r="X12" s="29"/>
      <c r="Y12" s="120" t="n">
        <v>15000</v>
      </c>
      <c r="Z12" s="29"/>
      <c r="AA12" s="29"/>
      <c r="AB12" s="29"/>
      <c r="AC12" s="120" t="n">
        <f aca="false">Tabela9[[#This Row],[Kolumna3]]*Tabela9[[#This Row],[Kolumna14]]</f>
        <v>0</v>
      </c>
      <c r="AD12" s="29"/>
      <c r="AE12" s="120"/>
      <c r="AF12" s="120"/>
      <c r="AG12" s="29" t="n">
        <f aca="false">1500*12</f>
        <v>18000</v>
      </c>
      <c r="AH12" s="120" t="n">
        <f aca="false">Tabela9[[#This Row],[Kolumna8]]/4.2</f>
        <v>4285.71428571429</v>
      </c>
      <c r="AI12" s="120" t="n">
        <f aca="false">Tabela9[[#This Row],[Kolumna9]]*Tabela9[[#This Row],[Kolumna14]]</f>
        <v>428.571428571429</v>
      </c>
      <c r="AJ12" s="29"/>
      <c r="AK12" s="29"/>
      <c r="AL12" s="53"/>
      <c r="AM12" s="53" t="n">
        <v>0.1</v>
      </c>
      <c r="AN12" s="29"/>
      <c r="AO12" s="29"/>
      <c r="AP12" s="29"/>
      <c r="AQ12" s="29"/>
    </row>
    <row r="13" customFormat="false" ht="15.75" hidden="false" customHeight="true" outlineLevel="0" collapsed="false">
      <c r="A13" s="29" t="n">
        <v>8</v>
      </c>
      <c r="B13" s="228" t="s">
        <v>255</v>
      </c>
      <c r="C13" s="29" t="s">
        <v>247</v>
      </c>
      <c r="D13" s="29"/>
      <c r="E13" s="29" t="n">
        <v>180</v>
      </c>
      <c r="F13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132.987123043195</v>
      </c>
      <c r="G13" s="44"/>
      <c r="H13" s="29"/>
      <c r="I13" s="120" t="n">
        <f aca="false">Tabela8[[#This Row],[Kolumna7]]*20700*0.27778</f>
        <v>0</v>
      </c>
      <c r="J13" s="29"/>
      <c r="K13" s="29" t="n">
        <v>747</v>
      </c>
      <c r="L13" s="229" t="n">
        <f aca="false">Tabela8[[#This Row],[Kolumna9]]*0.000843882*40190*0.27778</f>
        <v>7037.54694777518</v>
      </c>
      <c r="M13" s="29"/>
      <c r="N13" s="29"/>
      <c r="O13" s="120" t="n">
        <f aca="false">Tabela8[[#This Row],[Kolumna11]]*35.94*0.27778</f>
        <v>0</v>
      </c>
      <c r="P13" s="29" t="n">
        <v>10</v>
      </c>
      <c r="Q13" s="29"/>
      <c r="R13" s="29" t="n">
        <v>6</v>
      </c>
      <c r="S13" s="29" t="n">
        <f aca="false">Tabela8[[#This Row],[Kolumna14]]*0.65</f>
        <v>3.9</v>
      </c>
      <c r="T13" s="120" t="n">
        <f aca="false">Tabela8[[#This Row],[Kolumna15]]*15600*0.27778</f>
        <v>16900.1352</v>
      </c>
      <c r="U13" s="29"/>
      <c r="V13" s="29"/>
      <c r="W13" s="29"/>
      <c r="X13" s="29"/>
      <c r="Y13" s="120" t="n">
        <v>8353</v>
      </c>
      <c r="Z13" s="29" t="n">
        <v>0</v>
      </c>
      <c r="AA13" s="29"/>
      <c r="AB13" s="29"/>
      <c r="AC13" s="120" t="n">
        <f aca="false">Tabela9[[#This Row],[Kolumna3]]*Tabela9[[#This Row],[Kolumna14]]</f>
        <v>0</v>
      </c>
      <c r="AD13" s="29"/>
      <c r="AE13" s="29"/>
      <c r="AF13" s="120"/>
      <c r="AG13" s="29"/>
      <c r="AH13" s="120"/>
      <c r="AI13" s="120" t="n">
        <f aca="false">Tabela9[[#This Row],[Kolumna9]]*Tabela9[[#This Row],[Kolumna14]]</f>
        <v>0</v>
      </c>
      <c r="AJ13" s="29"/>
      <c r="AK13" s="29"/>
      <c r="AL13" s="53"/>
      <c r="AM13" s="29"/>
      <c r="AN13" s="29" t="s">
        <v>243</v>
      </c>
      <c r="AO13" s="29" t="s">
        <v>243</v>
      </c>
      <c r="AP13" s="29" t="s">
        <v>244</v>
      </c>
      <c r="AQ13" s="29"/>
    </row>
    <row r="14" customFormat="false" ht="15" hidden="false" customHeight="true" outlineLevel="0" collapsed="false">
      <c r="A14" s="29" t="n">
        <v>9</v>
      </c>
      <c r="B14" s="228" t="s">
        <v>255</v>
      </c>
      <c r="C14" s="29" t="s">
        <v>248</v>
      </c>
      <c r="D14" s="29"/>
      <c r="E14" s="29" t="n">
        <v>750</v>
      </c>
      <c r="F14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253.0728690112</v>
      </c>
      <c r="G14" s="44"/>
      <c r="H14" s="29"/>
      <c r="I14" s="120" t="n">
        <f aca="false">Tabela8[[#This Row],[Kolumna7]]*20700*0.27778</f>
        <v>0</v>
      </c>
      <c r="J14" s="29"/>
      <c r="K14" s="29"/>
      <c r="L14" s="29" t="n">
        <f aca="false">Tabela8[[#This Row],[Kolumna9]]*0.000843882*40190*0.27778</f>
        <v>0</v>
      </c>
      <c r="M14" s="29"/>
      <c r="N14" s="29" t="n">
        <v>19012</v>
      </c>
      <c r="O14" s="120" t="n">
        <f aca="false">Tabela8[[#This Row],[Kolumna11]]*35.94*0.27778</f>
        <v>189804.6517584</v>
      </c>
      <c r="P14" s="29"/>
      <c r="Q14" s="29"/>
      <c r="R14" s="29"/>
      <c r="S14" s="29" t="n">
        <f aca="false">Tabela8[[#This Row],[Kolumna14]]*0.65</f>
        <v>0</v>
      </c>
      <c r="T14" s="120" t="n">
        <f aca="false">Tabela8[[#This Row],[Kolumna15]]*15600*0.27778</f>
        <v>0</v>
      </c>
      <c r="U14" s="29"/>
      <c r="V14" s="29"/>
      <c r="W14" s="29"/>
      <c r="X14" s="29" t="n">
        <v>10000</v>
      </c>
      <c r="Y14" s="120" t="n">
        <f aca="false">Tabela8[[#This Row],[Kolumna20]]/0.55</f>
        <v>18181.8181818182</v>
      </c>
      <c r="Z14" s="29" t="n">
        <v>0</v>
      </c>
      <c r="AA14" s="29"/>
      <c r="AB14" s="29"/>
      <c r="AC14" s="120" t="n">
        <f aca="false">Tabela9[[#This Row],[Kolumna3]]*Tabela9[[#This Row],[Kolumna14]]</f>
        <v>0</v>
      </c>
      <c r="AD14" s="29"/>
      <c r="AE14" s="29"/>
      <c r="AF14" s="120"/>
      <c r="AG14" s="29"/>
      <c r="AH14" s="120"/>
      <c r="AI14" s="120" t="n">
        <f aca="false">Tabela9[[#This Row],[Kolumna9]]*Tabela9[[#This Row],[Kolumna14]]</f>
        <v>0</v>
      </c>
      <c r="AJ14" s="29"/>
      <c r="AK14" s="29"/>
      <c r="AL14" s="53"/>
      <c r="AM14" s="29"/>
      <c r="AN14" s="29" t="s">
        <v>243</v>
      </c>
      <c r="AO14" s="29" t="s">
        <v>243</v>
      </c>
      <c r="AP14" s="29" t="s">
        <v>243</v>
      </c>
      <c r="AQ14" s="29"/>
    </row>
    <row r="15" customFormat="false" ht="14.25" hidden="false" customHeight="false" outlineLevel="0" collapsed="false">
      <c r="A15" s="29" t="n">
        <v>10</v>
      </c>
      <c r="B15" s="228" t="s">
        <v>255</v>
      </c>
      <c r="C15" s="44" t="s">
        <v>242</v>
      </c>
      <c r="D15" s="29"/>
      <c r="E15" s="29" t="n">
        <v>200</v>
      </c>
      <c r="F15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324.460929</v>
      </c>
      <c r="G15" s="44"/>
      <c r="H15" s="29"/>
      <c r="I15" s="120" t="n">
        <f aca="false">Tabela8[[#This Row],[Kolumna7]]*20700*0.27778</f>
        <v>0</v>
      </c>
      <c r="J15" s="29"/>
      <c r="K15" s="29"/>
      <c r="L15" s="29" t="n">
        <f aca="false">Tabela8[[#This Row],[Kolumna9]]*0.000843882*40190*0.27778</f>
        <v>0</v>
      </c>
      <c r="M15" s="29"/>
      <c r="N15" s="29" t="n">
        <v>6500</v>
      </c>
      <c r="O15" s="120" t="n">
        <f aca="false">Tabela8[[#This Row],[Kolumna11]]*35.94*0.27778</f>
        <v>64892.1858</v>
      </c>
      <c r="P15" s="29"/>
      <c r="Q15" s="29"/>
      <c r="R15" s="29"/>
      <c r="S15" s="29" t="n">
        <f aca="false">Tabela8[[#This Row],[Kolumna14]]*0.65</f>
        <v>0</v>
      </c>
      <c r="T15" s="120" t="n">
        <f aca="false">Tabela8[[#This Row],[Kolumna15]]*15600*0.27778</f>
        <v>0</v>
      </c>
      <c r="U15" s="29"/>
      <c r="V15" s="29"/>
      <c r="W15" s="29"/>
      <c r="X15" s="29"/>
      <c r="Y15" s="120" t="n">
        <v>3500</v>
      </c>
      <c r="Z15" s="29" t="n">
        <v>3</v>
      </c>
      <c r="AA15" s="29"/>
      <c r="AB15" s="29" t="n">
        <v>600</v>
      </c>
      <c r="AC15" s="120" t="n">
        <f aca="false">Tabela9[[#This Row],[Kolumna3]]*Tabela9[[#This Row],[Kolumna14]]</f>
        <v>300</v>
      </c>
      <c r="AD15" s="29"/>
      <c r="AE15" s="29" t="n">
        <v>1200</v>
      </c>
      <c r="AF15" s="120" t="n">
        <f aca="false">Tabela9[[#This Row],[Kolumna6]]*Tabela9[[#This Row],[Kolumna14]]</f>
        <v>600</v>
      </c>
      <c r="AG15" s="29"/>
      <c r="AH15" s="120" t="n">
        <v>4500</v>
      </c>
      <c r="AI15" s="120" t="n">
        <f aca="false">Tabela9[[#This Row],[Kolumna9]]*Tabela9[[#This Row],[Kolumna14]]</f>
        <v>2250</v>
      </c>
      <c r="AJ15" s="29"/>
      <c r="AK15" s="29"/>
      <c r="AL15" s="53"/>
      <c r="AM15" s="53" t="n">
        <v>0.5</v>
      </c>
      <c r="AN15" s="29" t="s">
        <v>243</v>
      </c>
      <c r="AO15" s="29" t="s">
        <v>243</v>
      </c>
      <c r="AP15" s="29" t="s">
        <v>243</v>
      </c>
      <c r="AQ15" s="29"/>
    </row>
    <row r="16" customFormat="false" ht="14.25" hidden="false" customHeight="false" outlineLevel="0" collapsed="false">
      <c r="A16" s="29" t="n">
        <v>11</v>
      </c>
      <c r="B16" s="228" t="s">
        <v>255</v>
      </c>
      <c r="C16" s="44" t="s">
        <v>242</v>
      </c>
      <c r="D16" s="29"/>
      <c r="E16" s="29" t="n">
        <v>220</v>
      </c>
      <c r="F16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204.850123636364</v>
      </c>
      <c r="G16" s="44"/>
      <c r="H16" s="29"/>
      <c r="I16" s="120" t="n">
        <f aca="false">Tabela8[[#This Row],[Kolumna7]]*20700*0.27778</f>
        <v>0</v>
      </c>
      <c r="J16" s="29"/>
      <c r="K16" s="29"/>
      <c r="L16" s="29" t="n">
        <f aca="false">Tabela8[[#This Row],[Kolumna9]]*0.000843882*40190*0.27778</f>
        <v>0</v>
      </c>
      <c r="M16" s="29"/>
      <c r="N16" s="29"/>
      <c r="O16" s="120" t="n">
        <f aca="false">Tabela8[[#This Row],[Kolumna11]]*35.94*0.27778</f>
        <v>0</v>
      </c>
      <c r="P16" s="29"/>
      <c r="Q16" s="29"/>
      <c r="R16" s="29" t="n">
        <v>16</v>
      </c>
      <c r="S16" s="29" t="n">
        <f aca="false">Tabela8[[#This Row],[Kolumna14]]*0.65</f>
        <v>10.4</v>
      </c>
      <c r="T16" s="120" t="n">
        <f aca="false">Tabela8[[#This Row],[Kolumna15]]*15600*0.27778</f>
        <v>45067.0272</v>
      </c>
      <c r="U16" s="29"/>
      <c r="V16" s="29"/>
      <c r="W16" s="29"/>
      <c r="X16" s="29"/>
      <c r="Y16" s="120" t="n">
        <v>5000</v>
      </c>
      <c r="Z16" s="29" t="n">
        <v>0</v>
      </c>
      <c r="AA16" s="29"/>
      <c r="AB16" s="29"/>
      <c r="AC16" s="120" t="n">
        <f aca="false">Tabela9[[#This Row],[Kolumna3]]*Tabela9[[#This Row],[Kolumna14]]</f>
        <v>0</v>
      </c>
      <c r="AD16" s="29"/>
      <c r="AE16" s="29"/>
      <c r="AF16" s="120"/>
      <c r="AG16" s="29"/>
      <c r="AH16" s="120"/>
      <c r="AI16" s="120" t="n">
        <f aca="false">Tabela9[[#This Row],[Kolumna9]]*Tabela9[[#This Row],[Kolumna14]]</f>
        <v>0</v>
      </c>
      <c r="AJ16" s="29"/>
      <c r="AK16" s="29"/>
      <c r="AL16" s="53"/>
      <c r="AM16" s="29"/>
      <c r="AN16" s="29" t="s">
        <v>243</v>
      </c>
      <c r="AO16" s="29" t="s">
        <v>243</v>
      </c>
      <c r="AP16" s="29" t="s">
        <v>243</v>
      </c>
      <c r="AQ16" s="29"/>
    </row>
    <row r="17" customFormat="false" ht="14.25" hidden="false" customHeight="false" outlineLevel="0" collapsed="false">
      <c r="A17" s="29" t="n">
        <v>12</v>
      </c>
      <c r="B17" s="228" t="s">
        <v>255</v>
      </c>
      <c r="C17" s="44" t="s">
        <v>242</v>
      </c>
      <c r="D17" s="29"/>
      <c r="E17" s="29" t="n">
        <v>56</v>
      </c>
      <c r="F17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50.2980214285714</v>
      </c>
      <c r="G17" s="44"/>
      <c r="H17" s="29"/>
      <c r="I17" s="120" t="n">
        <f aca="false">Tabela8[[#This Row],[Kolumna7]]*20700*0.27778</f>
        <v>0</v>
      </c>
      <c r="J17" s="29"/>
      <c r="K17" s="29"/>
      <c r="L17" s="29" t="n">
        <f aca="false">Tabela8[[#This Row],[Kolumna9]]*0.000843882*40190*0.27778</f>
        <v>0</v>
      </c>
      <c r="M17" s="29"/>
      <c r="N17" s="29"/>
      <c r="O17" s="120" t="n">
        <f aca="false">Tabela8[[#This Row],[Kolumna11]]*35.94*0.27778</f>
        <v>0</v>
      </c>
      <c r="P17" s="29"/>
      <c r="Q17" s="29"/>
      <c r="R17" s="29" t="n">
        <v>1</v>
      </c>
      <c r="S17" s="29" t="n">
        <f aca="false">Tabela8[[#This Row],[Kolumna14]]*0.65</f>
        <v>0.65</v>
      </c>
      <c r="T17" s="120" t="n">
        <f aca="false">Tabela8[[#This Row],[Kolumna15]]*15600*0.27778</f>
        <v>2816.6892</v>
      </c>
      <c r="U17" s="29"/>
      <c r="V17" s="29"/>
      <c r="W17" s="29"/>
      <c r="X17" s="29" t="n">
        <v>1100</v>
      </c>
      <c r="Y17" s="120" t="n">
        <f aca="false">Tabela8[[#This Row],[Kolumna20]]/0.55</f>
        <v>2000</v>
      </c>
      <c r="Z17" s="29" t="n">
        <v>0</v>
      </c>
      <c r="AA17" s="29"/>
      <c r="AB17" s="29"/>
      <c r="AC17" s="120" t="n">
        <f aca="false">Tabela9[[#This Row],[Kolumna3]]*Tabela9[[#This Row],[Kolumna14]]</f>
        <v>0</v>
      </c>
      <c r="AD17" s="29"/>
      <c r="AE17" s="29"/>
      <c r="AF17" s="120"/>
      <c r="AG17" s="29"/>
      <c r="AH17" s="29"/>
      <c r="AI17" s="120" t="n">
        <f aca="false">Tabela9[[#This Row],[Kolumna9]]*Tabela9[[#This Row],[Kolumna14]]</f>
        <v>0</v>
      </c>
      <c r="AJ17" s="29"/>
      <c r="AK17" s="29"/>
      <c r="AL17" s="29"/>
      <c r="AM17" s="29"/>
      <c r="AN17" s="29" t="s">
        <v>243</v>
      </c>
      <c r="AO17" s="29" t="s">
        <v>243</v>
      </c>
      <c r="AP17" s="29" t="s">
        <v>243</v>
      </c>
      <c r="AQ17" s="29" t="s">
        <v>279</v>
      </c>
    </row>
    <row r="18" customFormat="false" ht="14.25" hidden="false" customHeight="false" outlineLevel="0" collapsed="false">
      <c r="A18" s="29" t="n">
        <v>13</v>
      </c>
      <c r="B18" s="228" t="s">
        <v>255</v>
      </c>
      <c r="C18" s="44" t="s">
        <v>280</v>
      </c>
      <c r="D18" s="29"/>
      <c r="E18" s="29" t="n">
        <v>780</v>
      </c>
      <c r="F18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385.664456872169</v>
      </c>
      <c r="G18" s="44"/>
      <c r="H18" s="29" t="n">
        <v>50</v>
      </c>
      <c r="I18" s="120" t="n">
        <f aca="false">Tabela8[[#This Row],[Kolumna7]]*20700*0.27778</f>
        <v>287502.3</v>
      </c>
      <c r="J18" s="29"/>
      <c r="K18" s="29"/>
      <c r="L18" s="29" t="n">
        <f aca="false">Tabela8[[#This Row],[Kolumna9]]*0.000843882*40190*0.27778</f>
        <v>0</v>
      </c>
      <c r="M18" s="29"/>
      <c r="N18" s="29" t="n">
        <v>1333.81</v>
      </c>
      <c r="O18" s="120" t="n">
        <f aca="false">Tabela8[[#This Row],[Kolumna11]]*35.94*0.27778</f>
        <v>13315.976360292</v>
      </c>
      <c r="P18" s="29"/>
      <c r="Q18" s="29"/>
      <c r="R18" s="29"/>
      <c r="S18" s="29" t="n">
        <f aca="false">Tabela8[[#This Row],[Kolumna14]]*0.65</f>
        <v>0</v>
      </c>
      <c r="T18" s="120" t="n">
        <f aca="false">Tabela8[[#This Row],[Kolumna15]]*15600*0.27778</f>
        <v>0</v>
      </c>
      <c r="U18" s="29"/>
      <c r="V18" s="29"/>
      <c r="W18" s="29"/>
      <c r="X18" s="29" t="n">
        <v>39700</v>
      </c>
      <c r="Y18" s="120" t="n">
        <f aca="false">Tabela8[[#This Row],[Kolumna20]]/0.55</f>
        <v>72181.8181818182</v>
      </c>
      <c r="Z18" s="29" t="n">
        <v>0</v>
      </c>
      <c r="AA18" s="29"/>
      <c r="AB18" s="29"/>
      <c r="AC18" s="120" t="n">
        <f aca="false">Tabela9[[#This Row],[Kolumna3]]*Tabela9[[#This Row],[Kolumna14]]</f>
        <v>0</v>
      </c>
      <c r="AD18" s="29"/>
      <c r="AE18" s="29"/>
      <c r="AF18" s="120"/>
      <c r="AG18" s="29"/>
      <c r="AH18" s="29"/>
      <c r="AI18" s="120" t="n">
        <f aca="false">Tabela9[[#This Row],[Kolumna9]]*Tabela9[[#This Row],[Kolumna14]]</f>
        <v>0</v>
      </c>
      <c r="AJ18" s="29"/>
      <c r="AK18" s="29"/>
      <c r="AL18" s="29"/>
      <c r="AM18" s="53"/>
      <c r="AN18" s="29" t="s">
        <v>243</v>
      </c>
      <c r="AO18" s="29" t="s">
        <v>243</v>
      </c>
      <c r="AP18" s="29" t="s">
        <v>243</v>
      </c>
      <c r="AQ18" s="29"/>
    </row>
    <row r="19" customFormat="false" ht="15.75" hidden="false" customHeight="true" outlineLevel="0" collapsed="false">
      <c r="A19" s="29" t="n">
        <v>14</v>
      </c>
      <c r="B19" s="228" t="s">
        <v>255</v>
      </c>
      <c r="C19" s="230" t="s">
        <v>242</v>
      </c>
      <c r="D19" s="29"/>
      <c r="E19" s="29" t="n">
        <v>400</v>
      </c>
      <c r="F19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174.709731</v>
      </c>
      <c r="G19" s="44"/>
      <c r="H19" s="29"/>
      <c r="I19" s="120" t="n">
        <f aca="false">Tabela8[[#This Row],[Kolumna7]]*20700*0.27778</f>
        <v>0</v>
      </c>
      <c r="J19" s="29"/>
      <c r="K19" s="29"/>
      <c r="L19" s="29" t="n">
        <f aca="false">Tabela8[[#This Row],[Kolumna9]]*0.000843882*40190*0.27778</f>
        <v>0</v>
      </c>
      <c r="M19" s="29"/>
      <c r="N19" s="29" t="n">
        <v>7000</v>
      </c>
      <c r="O19" s="120" t="n">
        <f aca="false">Tabela8[[#This Row],[Kolumna11]]*35.94*0.27778</f>
        <v>69883.8924</v>
      </c>
      <c r="P19" s="29"/>
      <c r="Q19" s="29"/>
      <c r="R19" s="29"/>
      <c r="S19" s="29" t="n">
        <f aca="false">Tabela8[[#This Row],[Kolumna14]]*0.65</f>
        <v>0</v>
      </c>
      <c r="T19" s="120" t="n">
        <f aca="false">Tabela8[[#This Row],[Kolumna15]]*15600*0.27778</f>
        <v>0</v>
      </c>
      <c r="U19" s="43" t="s">
        <v>22</v>
      </c>
      <c r="V19" s="29"/>
      <c r="W19" s="29"/>
      <c r="X19" s="29"/>
      <c r="Y19" s="120" t="n">
        <v>31000</v>
      </c>
      <c r="Z19" s="29" t="n">
        <v>1</v>
      </c>
      <c r="AA19" s="29"/>
      <c r="AB19" s="29"/>
      <c r="AC19" s="120" t="n">
        <f aca="false">Tabela9[[#This Row],[Kolumna3]]*Tabela9[[#This Row],[Kolumna14]]</f>
        <v>0</v>
      </c>
      <c r="AD19" s="29"/>
      <c r="AE19" s="29"/>
      <c r="AF19" s="120"/>
      <c r="AG19" s="29"/>
      <c r="AH19" s="120" t="n">
        <v>1500</v>
      </c>
      <c r="AI19" s="120" t="n">
        <f aca="false">Tabela9[[#This Row],[Kolumna9]]*Tabela9[[#This Row],[Kolumna14]]</f>
        <v>30</v>
      </c>
      <c r="AJ19" s="29"/>
      <c r="AK19" s="29"/>
      <c r="AL19" s="53"/>
      <c r="AM19" s="53" t="n">
        <v>0.02</v>
      </c>
      <c r="AN19" s="29" t="s">
        <v>243</v>
      </c>
      <c r="AO19" s="29" t="s">
        <v>243</v>
      </c>
      <c r="AP19" s="29" t="s">
        <v>244</v>
      </c>
      <c r="AQ19" s="29"/>
    </row>
    <row r="20" customFormat="false" ht="14.25" hidden="false" customHeight="false" outlineLevel="0" collapsed="false">
      <c r="A20" s="29" t="n">
        <v>15</v>
      </c>
      <c r="B20" s="228" t="s">
        <v>255</v>
      </c>
      <c r="C20" s="44" t="s">
        <v>242</v>
      </c>
      <c r="D20" s="29"/>
      <c r="E20" s="29" t="n">
        <v>200</v>
      </c>
      <c r="F20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108.919038012</v>
      </c>
      <c r="G20" s="44"/>
      <c r="H20" s="29"/>
      <c r="I20" s="120" t="n">
        <f aca="false">Tabela8[[#This Row],[Kolumna7]]*20700*0.27778</f>
        <v>0</v>
      </c>
      <c r="J20" s="29"/>
      <c r="K20" s="29"/>
      <c r="L20" s="29" t="n">
        <f aca="false">Tabela8[[#This Row],[Kolumna9]]*0.000843882*40190*0.27778</f>
        <v>0</v>
      </c>
      <c r="M20" s="29"/>
      <c r="N20" s="29" t="n">
        <v>2182</v>
      </c>
      <c r="O20" s="120" t="n">
        <f aca="false">Tabela8[[#This Row],[Kolumna11]]*35.94*0.27778</f>
        <v>21783.8076024</v>
      </c>
      <c r="P20" s="29"/>
      <c r="Q20" s="29"/>
      <c r="R20" s="29"/>
      <c r="S20" s="29" t="n">
        <f aca="false">Tabela8[[#This Row],[Kolumna14]]*0.65</f>
        <v>0</v>
      </c>
      <c r="T20" s="120" t="n">
        <f aca="false">Tabela8[[#This Row],[Kolumna15]]*15600*0.27778</f>
        <v>0</v>
      </c>
      <c r="U20" s="29"/>
      <c r="V20" s="29"/>
      <c r="W20" s="29"/>
      <c r="X20" s="29"/>
      <c r="Y20" s="120" t="n">
        <v>11087</v>
      </c>
      <c r="Z20" s="29" t="n">
        <v>0</v>
      </c>
      <c r="AA20" s="29"/>
      <c r="AB20" s="29"/>
      <c r="AC20" s="120" t="n">
        <f aca="false">Tabela9[[#This Row],[Kolumna3]]*Tabela9[[#This Row],[Kolumna14]]</f>
        <v>0</v>
      </c>
      <c r="AD20" s="29"/>
      <c r="AE20" s="29"/>
      <c r="AF20" s="120"/>
      <c r="AG20" s="29"/>
      <c r="AH20" s="29"/>
      <c r="AI20" s="120" t="n">
        <f aca="false">Tabela9[[#This Row],[Kolumna9]]*Tabela9[[#This Row],[Kolumna14]]</f>
        <v>0</v>
      </c>
      <c r="AJ20" s="29"/>
      <c r="AK20" s="29"/>
      <c r="AL20" s="53"/>
      <c r="AM20" s="29"/>
      <c r="AN20" s="29" t="s">
        <v>243</v>
      </c>
      <c r="AO20" s="29" t="s">
        <v>243</v>
      </c>
      <c r="AP20" s="29" t="s">
        <v>243</v>
      </c>
      <c r="AQ20" s="29"/>
    </row>
    <row r="21" customFormat="false" ht="18" hidden="false" customHeight="true" outlineLevel="0" collapsed="false">
      <c r="A21" s="29" t="n">
        <v>16</v>
      </c>
      <c r="B21" s="228" t="s">
        <v>255</v>
      </c>
      <c r="C21" s="29" t="s">
        <v>248</v>
      </c>
      <c r="D21" s="29"/>
      <c r="E21" s="29" t="n">
        <v>77</v>
      </c>
      <c r="F21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101.689974025974</v>
      </c>
      <c r="G21" s="44"/>
      <c r="H21" s="29"/>
      <c r="I21" s="120" t="n">
        <f aca="false">Tabela8[[#This Row],[Kolumna7]]*20700*0.27778</f>
        <v>0</v>
      </c>
      <c r="J21" s="29"/>
      <c r="K21" s="29"/>
      <c r="L21" s="29" t="n">
        <f aca="false">Tabela8[[#This Row],[Kolumna9]]*0.000843882*40190*0.27778</f>
        <v>0</v>
      </c>
      <c r="M21" s="29" t="n">
        <v>2000</v>
      </c>
      <c r="N21" s="120" t="n">
        <f aca="false">Tabela8[[#This Row],[Kolumna10]]/2.55</f>
        <v>784.313725490196</v>
      </c>
      <c r="O21" s="120" t="n">
        <f aca="false">Tabela8[[#This Row],[Kolumna11]]*35.94*0.27778</f>
        <v>7830.128</v>
      </c>
      <c r="P21" s="29"/>
      <c r="Q21" s="29"/>
      <c r="R21" s="29"/>
      <c r="S21" s="29" t="n">
        <f aca="false">Tabela8[[#This Row],[Kolumna14]]*0.65</f>
        <v>0</v>
      </c>
      <c r="T21" s="120" t="n">
        <f aca="false">Tabela8[[#This Row],[Kolumna15]]*15600*0.27778</f>
        <v>0</v>
      </c>
      <c r="U21" s="29"/>
      <c r="V21" s="29"/>
      <c r="W21" s="29"/>
      <c r="X21" s="29" t="n">
        <f aca="false">1500*6</f>
        <v>9000</v>
      </c>
      <c r="Y21" s="120" t="n">
        <f aca="false">Tabela8[[#This Row],[Kolumna20]]/0.55</f>
        <v>16363.6363636364</v>
      </c>
      <c r="Z21" s="29" t="n">
        <v>1</v>
      </c>
      <c r="AA21" s="29"/>
      <c r="AB21" s="29"/>
      <c r="AC21" s="120" t="n">
        <f aca="false">Tabela9[[#This Row],[Kolumna3]]*Tabela9[[#This Row],[Kolumna14]]</f>
        <v>0</v>
      </c>
      <c r="AD21" s="29"/>
      <c r="AE21" s="29"/>
      <c r="AF21" s="120"/>
      <c r="AG21" s="29" t="n">
        <f aca="false">500*12</f>
        <v>6000</v>
      </c>
      <c r="AH21" s="120" t="n">
        <f aca="false">Tabela9[[#This Row],[Kolumna8]]/4.2</f>
        <v>1428.57142857143</v>
      </c>
      <c r="AI21" s="120" t="n">
        <f aca="false">Tabela9[[#This Row],[Kolumna9]]*Tabela9[[#This Row],[Kolumna14]]</f>
        <v>428.571428571429</v>
      </c>
      <c r="AJ21" s="29"/>
      <c r="AK21" s="29"/>
      <c r="AL21" s="29"/>
      <c r="AM21" s="53" t="n">
        <v>0.3</v>
      </c>
      <c r="AN21" s="29" t="s">
        <v>243</v>
      </c>
      <c r="AO21" s="29" t="s">
        <v>243</v>
      </c>
      <c r="AP21" s="29" t="s">
        <v>243</v>
      </c>
      <c r="AQ21" s="147"/>
    </row>
    <row r="22" customFormat="false" ht="16.5" hidden="false" customHeight="true" outlineLevel="0" collapsed="false">
      <c r="A22" s="29" t="n">
        <v>17</v>
      </c>
      <c r="B22" s="228" t="s">
        <v>255</v>
      </c>
      <c r="C22" s="29" t="s">
        <v>247</v>
      </c>
      <c r="D22" s="29"/>
      <c r="E22" s="29" t="n">
        <v>100</v>
      </c>
      <c r="F22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0</v>
      </c>
      <c r="G22" s="44"/>
      <c r="H22" s="29"/>
      <c r="I22" s="120" t="n">
        <f aca="false">Tabela8[[#This Row],[Kolumna7]]*20700*0.27778</f>
        <v>0</v>
      </c>
      <c r="J22" s="29"/>
      <c r="K22" s="29"/>
      <c r="L22" s="29" t="n">
        <f aca="false">Tabela8[[#This Row],[Kolumna9]]*0.000843882*40190*0.27778</f>
        <v>0</v>
      </c>
      <c r="M22" s="29"/>
      <c r="N22" s="120"/>
      <c r="O22" s="120" t="n">
        <f aca="false">Tabela8[[#This Row],[Kolumna11]]*35.94*0.27778</f>
        <v>0</v>
      </c>
      <c r="P22" s="29"/>
      <c r="Q22" s="29"/>
      <c r="R22" s="29"/>
      <c r="S22" s="29" t="n">
        <f aca="false">Tabela8[[#This Row],[Kolumna14]]*0.65</f>
        <v>0</v>
      </c>
      <c r="T22" s="120" t="n">
        <f aca="false">Tabela8[[#This Row],[Kolumna15]]*15600*0.27778</f>
        <v>0</v>
      </c>
      <c r="U22" s="29"/>
      <c r="V22" s="29"/>
      <c r="W22" s="29"/>
      <c r="X22" s="29" t="n">
        <f aca="false">350*12</f>
        <v>4200</v>
      </c>
      <c r="Y22" s="120" t="n">
        <f aca="false">Tabela8[[#This Row],[Kolumna20]]/0.55</f>
        <v>7636.36363636364</v>
      </c>
      <c r="Z22" s="29" t="n">
        <v>1</v>
      </c>
      <c r="AA22" s="29"/>
      <c r="AB22" s="29"/>
      <c r="AC22" s="120" t="n">
        <f aca="false">Tabela9[[#This Row],[Kolumna3]]*Tabela9[[#This Row],[Kolumna14]]</f>
        <v>0</v>
      </c>
      <c r="AD22" s="29"/>
      <c r="AE22" s="29"/>
      <c r="AF22" s="120"/>
      <c r="AG22" s="29" t="n">
        <f aca="false">150*12</f>
        <v>1800</v>
      </c>
      <c r="AH22" s="120" t="n">
        <f aca="false">Tabela9[[#This Row],[Kolumna8]]/4.2</f>
        <v>428.571428571429</v>
      </c>
      <c r="AI22" s="120" t="n">
        <f aca="false">Tabela9[[#This Row],[Kolumna9]]*Tabela9[[#This Row],[Kolumna14]]</f>
        <v>214.285714285714</v>
      </c>
      <c r="AJ22" s="29"/>
      <c r="AK22" s="29"/>
      <c r="AL22" s="29"/>
      <c r="AM22" s="53" t="n">
        <v>0.5</v>
      </c>
      <c r="AN22" s="29" t="s">
        <v>243</v>
      </c>
      <c r="AO22" s="29" t="s">
        <v>243</v>
      </c>
      <c r="AP22" s="29" t="s">
        <v>243</v>
      </c>
      <c r="AQ22" s="29"/>
    </row>
    <row r="23" customFormat="false" ht="19.5" hidden="false" customHeight="true" outlineLevel="0" collapsed="false">
      <c r="A23" s="29" t="n">
        <v>18</v>
      </c>
      <c r="B23" s="228" t="s">
        <v>255</v>
      </c>
      <c r="C23" s="44" t="s">
        <v>242</v>
      </c>
      <c r="D23" s="29"/>
      <c r="E23" s="29" t="n">
        <v>534</v>
      </c>
      <c r="F23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0</v>
      </c>
      <c r="G23" s="44"/>
      <c r="H23" s="29"/>
      <c r="I23" s="120" t="n">
        <f aca="false">Tabela8[[#This Row],[Kolumna7]]*20700*0.27778</f>
        <v>0</v>
      </c>
      <c r="J23" s="29"/>
      <c r="K23" s="29"/>
      <c r="L23" s="29" t="n">
        <f aca="false">Tabela8[[#This Row],[Kolumna9]]*0.000843882*40190*0.27778</f>
        <v>0</v>
      </c>
      <c r="M23" s="29"/>
      <c r="N23" s="120"/>
      <c r="O23" s="120" t="n">
        <f aca="false">Tabela8[[#This Row],[Kolumna11]]*35.94*0.27778</f>
        <v>0</v>
      </c>
      <c r="P23" s="29"/>
      <c r="Q23" s="29"/>
      <c r="R23" s="29"/>
      <c r="S23" s="29" t="n">
        <f aca="false">Tabela8[[#This Row],[Kolumna14]]*0.65</f>
        <v>0</v>
      </c>
      <c r="T23" s="120" t="n">
        <f aca="false">Tabela8[[#This Row],[Kolumna15]]*15600*0.27778</f>
        <v>0</v>
      </c>
      <c r="U23" s="29"/>
      <c r="V23" s="29"/>
      <c r="W23" s="29"/>
      <c r="X23" s="29"/>
      <c r="Y23" s="120" t="n">
        <v>153856</v>
      </c>
      <c r="Z23" s="29" t="n">
        <v>0</v>
      </c>
      <c r="AA23" s="29"/>
      <c r="AB23" s="29"/>
      <c r="AC23" s="120" t="n">
        <f aca="false">Tabela9[[#This Row],[Kolumna3]]*Tabela9[[#This Row],[Kolumna14]]</f>
        <v>0</v>
      </c>
      <c r="AD23" s="29"/>
      <c r="AE23" s="29"/>
      <c r="AF23" s="120"/>
      <c r="AG23" s="29"/>
      <c r="AH23" s="29"/>
      <c r="AI23" s="120" t="n">
        <f aca="false">Tabela9[[#This Row],[Kolumna9]]*Tabela9[[#This Row],[Kolumna14]]</f>
        <v>0</v>
      </c>
      <c r="AJ23" s="29"/>
      <c r="AK23" s="29"/>
      <c r="AL23" s="29"/>
      <c r="AM23" s="29"/>
      <c r="AN23" s="29" t="s">
        <v>243</v>
      </c>
      <c r="AO23" s="29" t="s">
        <v>243</v>
      </c>
      <c r="AP23" s="29" t="s">
        <v>243</v>
      </c>
      <c r="AQ23" s="29"/>
    </row>
    <row r="24" customFormat="false" ht="15.75" hidden="false" customHeight="true" outlineLevel="0" collapsed="false">
      <c r="A24" s="29" t="n">
        <v>19</v>
      </c>
      <c r="B24" s="228" t="s">
        <v>255</v>
      </c>
      <c r="C24" s="230" t="s">
        <v>281</v>
      </c>
      <c r="D24" s="29"/>
      <c r="E24" s="29" t="n">
        <v>350</v>
      </c>
      <c r="F24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1609.53668571429</v>
      </c>
      <c r="G24" s="44"/>
      <c r="H24" s="29"/>
      <c r="I24" s="120" t="n">
        <f aca="false">Tabela8[[#This Row],[Kolumna7]]*20700*0.27778</f>
        <v>0</v>
      </c>
      <c r="J24" s="29"/>
      <c r="K24" s="29"/>
      <c r="L24" s="29" t="n">
        <f aca="false">Tabela8[[#This Row],[Kolumna9]]*0.000843882*40190*0.27778</f>
        <v>0</v>
      </c>
      <c r="M24" s="29"/>
      <c r="N24" s="120"/>
      <c r="O24" s="120" t="n">
        <f aca="false">Tabela8[[#This Row],[Kolumna11]]*35.94*0.27778</f>
        <v>0</v>
      </c>
      <c r="P24" s="29"/>
      <c r="Q24" s="29"/>
      <c r="R24" s="29" t="n">
        <v>200</v>
      </c>
      <c r="S24" s="29" t="n">
        <f aca="false">Tabela8[[#This Row],[Kolumna14]]*0.65</f>
        <v>130</v>
      </c>
      <c r="T24" s="120" t="n">
        <f aca="false">Tabela8[[#This Row],[Kolumna15]]*15600*0.27778</f>
        <v>563337.84</v>
      </c>
      <c r="U24" s="29"/>
      <c r="V24" s="29"/>
      <c r="W24" s="29"/>
      <c r="X24" s="29"/>
      <c r="Y24" s="120"/>
      <c r="Z24" s="29" t="n">
        <v>0</v>
      </c>
      <c r="AA24" s="29"/>
      <c r="AB24" s="29"/>
      <c r="AC24" s="120" t="n">
        <f aca="false">Tabela9[[#This Row],[Kolumna3]]*Tabela9[[#This Row],[Kolumna14]]</f>
        <v>0</v>
      </c>
      <c r="AD24" s="29"/>
      <c r="AE24" s="29"/>
      <c r="AF24" s="120"/>
      <c r="AG24" s="29"/>
      <c r="AH24" s="29"/>
      <c r="AI24" s="120" t="n">
        <f aca="false">Tabela9[[#This Row],[Kolumna9]]*Tabela9[[#This Row],[Kolumna14]]</f>
        <v>0</v>
      </c>
      <c r="AJ24" s="29"/>
      <c r="AK24" s="29"/>
      <c r="AL24" s="29"/>
      <c r="AM24" s="29"/>
      <c r="AN24" s="29" t="s">
        <v>243</v>
      </c>
      <c r="AO24" s="29" t="s">
        <v>243</v>
      </c>
      <c r="AP24" s="29" t="s">
        <v>243</v>
      </c>
      <c r="AQ24" s="29"/>
    </row>
    <row r="25" customFormat="false" ht="20.25" hidden="false" customHeight="true" outlineLevel="0" collapsed="false">
      <c r="A25" s="29" t="n">
        <v>20</v>
      </c>
      <c r="B25" s="228" t="s">
        <v>255</v>
      </c>
      <c r="C25" s="44" t="s">
        <v>246</v>
      </c>
      <c r="D25" s="29"/>
      <c r="E25" s="29" t="n">
        <v>800</v>
      </c>
      <c r="F25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74.5038251925</v>
      </c>
      <c r="G25" s="44"/>
      <c r="H25" s="29" t="n">
        <v>4</v>
      </c>
      <c r="I25" s="120" t="n">
        <f aca="false">Tabela8[[#This Row],[Kolumna7]]*20700*0.27778</f>
        <v>23000.184</v>
      </c>
      <c r="J25" s="29"/>
      <c r="K25" s="29"/>
      <c r="L25" s="29" t="n">
        <f aca="false">Tabela8[[#This Row],[Kolumna9]]*0.000843882*40190*0.27778</f>
        <v>0</v>
      </c>
      <c r="M25" s="29"/>
      <c r="N25" s="120" t="n">
        <v>845</v>
      </c>
      <c r="O25" s="120" t="n">
        <f aca="false">Tabela8[[#This Row],[Kolumna11]]*35.94*0.27778</f>
        <v>8435.984154</v>
      </c>
      <c r="P25" s="29"/>
      <c r="Q25" s="29"/>
      <c r="R25" s="29" t="n">
        <v>10</v>
      </c>
      <c r="S25" s="29" t="n">
        <f aca="false">Tabela8[[#This Row],[Kolumna14]]*0.65</f>
        <v>6.5</v>
      </c>
      <c r="T25" s="120" t="n">
        <f aca="false">Tabela8[[#This Row],[Kolumna15]]*15600*0.27778</f>
        <v>28166.892</v>
      </c>
      <c r="U25" s="29"/>
      <c r="V25" s="29"/>
      <c r="W25" s="29"/>
      <c r="X25" s="29"/>
      <c r="Y25" s="120" t="n">
        <v>238604</v>
      </c>
      <c r="Z25" s="29" t="n">
        <v>2</v>
      </c>
      <c r="AA25" s="29"/>
      <c r="AB25" s="29" t="n">
        <v>460</v>
      </c>
      <c r="AC25" s="120" t="n">
        <f aca="false">Tabela9[[#This Row],[Kolumna3]]*Tabela9[[#This Row],[Kolumna14]]</f>
        <v>92</v>
      </c>
      <c r="AD25" s="29"/>
      <c r="AE25" s="29"/>
      <c r="AF25" s="120"/>
      <c r="AG25" s="29"/>
      <c r="AH25" s="29" t="n">
        <v>480</v>
      </c>
      <c r="AI25" s="120" t="n">
        <f aca="false">Tabela9[[#This Row],[Kolumna9]]*Tabela9[[#This Row],[Kolumna14]]</f>
        <v>96</v>
      </c>
      <c r="AJ25" s="29"/>
      <c r="AK25" s="29"/>
      <c r="AL25" s="29"/>
      <c r="AM25" s="53" t="n">
        <v>0.2</v>
      </c>
      <c r="AN25" s="29" t="s">
        <v>243</v>
      </c>
      <c r="AO25" s="29" t="s">
        <v>243</v>
      </c>
      <c r="AP25" s="29" t="s">
        <v>243</v>
      </c>
      <c r="AQ25" s="29"/>
    </row>
    <row r="26" customFormat="false" ht="17.25" hidden="false" customHeight="true" outlineLevel="0" collapsed="false">
      <c r="A26" s="29" t="n">
        <v>21</v>
      </c>
      <c r="B26" s="228" t="s">
        <v>255</v>
      </c>
      <c r="C26" s="29" t="s">
        <v>248</v>
      </c>
      <c r="D26" s="29"/>
      <c r="E26" s="29" t="n">
        <v>180</v>
      </c>
      <c r="F26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127.7788</v>
      </c>
      <c r="G26" s="44"/>
      <c r="H26" s="29" t="n">
        <v>4</v>
      </c>
      <c r="I26" s="120" t="n">
        <f aca="false">Tabela8[[#This Row],[Kolumna7]]*20700*0.27778</f>
        <v>23000.184</v>
      </c>
      <c r="J26" s="29"/>
      <c r="K26" s="29"/>
      <c r="L26" s="29" t="n">
        <f aca="false">Tabela8[[#This Row],[Kolumna9]]*0.000843882*40190*0.27778</f>
        <v>0</v>
      </c>
      <c r="M26" s="29"/>
      <c r="N26" s="120"/>
      <c r="O26" s="120" t="n">
        <f aca="false">Tabela8[[#This Row],[Kolumna11]]*35.94*0.27778</f>
        <v>0</v>
      </c>
      <c r="P26" s="29"/>
      <c r="Q26" s="29"/>
      <c r="R26" s="29"/>
      <c r="S26" s="29" t="n">
        <f aca="false">Tabela8[[#This Row],[Kolumna14]]*0.65</f>
        <v>0</v>
      </c>
      <c r="T26" s="120" t="n">
        <f aca="false">Tabela8[[#This Row],[Kolumna15]]*15600*0.27778</f>
        <v>0</v>
      </c>
      <c r="U26" s="29"/>
      <c r="V26" s="29"/>
      <c r="W26" s="43" t="s">
        <v>282</v>
      </c>
      <c r="X26" s="29" t="n">
        <f aca="false">650*6</f>
        <v>3900</v>
      </c>
      <c r="Y26" s="120" t="n">
        <f aca="false">Tabela8[[#This Row],[Kolumna20]]/0.55</f>
        <v>7090.90909090909</v>
      </c>
      <c r="Z26" s="29" t="n">
        <v>1</v>
      </c>
      <c r="AA26" s="29"/>
      <c r="AB26" s="29"/>
      <c r="AC26" s="120" t="n">
        <f aca="false">Tabela9[[#This Row],[Kolumna3]]*Tabela9[[#This Row],[Kolumna14]]</f>
        <v>0</v>
      </c>
      <c r="AD26" s="29"/>
      <c r="AE26" s="29"/>
      <c r="AF26" s="120"/>
      <c r="AG26" s="29" t="n">
        <f aca="false">1200*12</f>
        <v>14400</v>
      </c>
      <c r="AH26" s="120" t="n">
        <f aca="false">Tabela9[[#This Row],[Kolumna8]]/4.2</f>
        <v>3428.57142857143</v>
      </c>
      <c r="AI26" s="120" t="n">
        <f aca="false">Tabela9[[#This Row],[Kolumna9]]*Tabela9[[#This Row],[Kolumna14]]</f>
        <v>171.428571428571</v>
      </c>
      <c r="AJ26" s="29"/>
      <c r="AK26" s="29"/>
      <c r="AL26" s="29"/>
      <c r="AM26" s="53" t="n">
        <v>0.05</v>
      </c>
      <c r="AN26" s="29" t="s">
        <v>243</v>
      </c>
      <c r="AO26" s="29" t="s">
        <v>243</v>
      </c>
      <c r="AP26" s="29" t="s">
        <v>243</v>
      </c>
      <c r="AQ26" s="29"/>
    </row>
    <row r="27" customFormat="false" ht="14.25" hidden="false" customHeight="false" outlineLevel="0" collapsed="false">
      <c r="A27" s="29" t="n">
        <v>22</v>
      </c>
      <c r="B27" s="228" t="s">
        <v>255</v>
      </c>
      <c r="C27" s="44" t="s">
        <v>256</v>
      </c>
      <c r="D27" s="29"/>
      <c r="E27" s="29" t="n">
        <v>30</v>
      </c>
      <c r="F27" s="120" t="n">
        <f aca="false">(SUM(Tabela8[[#This Row],[Kolumna72]],Tabela8[[#This Row],[Kolumna92]],Tabela8[[#This Row],[Kolumna112]],Tabela8[[#This Row],[Kolumna152]],Tabela8[[#This Row],[Kolumna16]],Tabela8[[#This Row],[Kolumna17]],Tabela8[[#This Row],[Kolumna18]]))/Tabela8[[#This Row],[Kolumna5]]</f>
        <v>938.8964</v>
      </c>
      <c r="G27" s="44"/>
      <c r="H27" s="29"/>
      <c r="I27" s="120" t="n">
        <f aca="false">Tabela8[[#This Row],[Kolumna7]]*20700*0.27778</f>
        <v>0</v>
      </c>
      <c r="J27" s="29"/>
      <c r="K27" s="29"/>
      <c r="L27" s="29" t="n">
        <f aca="false">Tabela8[[#This Row],[Kolumna9]]*0.000843882*40190*0.27778</f>
        <v>0</v>
      </c>
      <c r="M27" s="29"/>
      <c r="N27" s="120"/>
      <c r="O27" s="120" t="n">
        <f aca="false">Tabela8[[#This Row],[Kolumna11]]*35.94*0.27778</f>
        <v>0</v>
      </c>
      <c r="P27" s="29"/>
      <c r="Q27" s="29"/>
      <c r="R27" s="29" t="n">
        <v>10</v>
      </c>
      <c r="S27" s="29" t="n">
        <f aca="false">Tabela8[[#This Row],[Kolumna14]]*0.65</f>
        <v>6.5</v>
      </c>
      <c r="T27" s="120" t="n">
        <f aca="false">Tabela8[[#This Row],[Kolumna15]]*15600*0.27778</f>
        <v>28166.892</v>
      </c>
      <c r="U27" s="29"/>
      <c r="V27" s="29"/>
      <c r="W27" s="29"/>
      <c r="X27" s="29"/>
      <c r="Y27" s="120"/>
      <c r="Z27" s="29" t="n">
        <v>0</v>
      </c>
      <c r="AA27" s="29"/>
      <c r="AB27" s="29"/>
      <c r="AC27" s="120" t="n">
        <f aca="false">Tabela9[[#This Row],[Kolumna3]]*Tabela9[[#This Row],[Kolumna14]]</f>
        <v>0</v>
      </c>
      <c r="AD27" s="29"/>
      <c r="AE27" s="29"/>
      <c r="AF27" s="120"/>
      <c r="AG27" s="29"/>
      <c r="AH27" s="29"/>
      <c r="AI27" s="120" t="n">
        <f aca="false">Tabela9[[#This Row],[Kolumna9]]*Tabela9[[#This Row],[Kolumna14]]</f>
        <v>0</v>
      </c>
      <c r="AJ27" s="29"/>
      <c r="AK27" s="29"/>
      <c r="AL27" s="29"/>
      <c r="AM27" s="53"/>
      <c r="AN27" s="29" t="s">
        <v>243</v>
      </c>
      <c r="AO27" s="29" t="s">
        <v>244</v>
      </c>
      <c r="AP27" s="29" t="s">
        <v>243</v>
      </c>
      <c r="AQ27" s="29"/>
    </row>
    <row r="28" customFormat="false" ht="15" hidden="false" customHeight="true" outlineLevel="0" collapsed="false">
      <c r="A28" s="73" t="s">
        <v>168</v>
      </c>
      <c r="B28" s="73"/>
      <c r="C28" s="73"/>
      <c r="D28" s="73"/>
      <c r="E28" s="231" t="n">
        <f aca="false">SUM(Tabela8[Kolumna5])</f>
        <v>6015</v>
      </c>
      <c r="F28" s="232"/>
      <c r="G28" s="159"/>
      <c r="H28" s="74" t="n">
        <f aca="false">SUM(H6:H27)</f>
        <v>67</v>
      </c>
      <c r="I28" s="153"/>
      <c r="J28" s="152"/>
      <c r="K28" s="77" t="n">
        <f aca="false">SUM(Tabela8[Kolumna9])</f>
        <v>747</v>
      </c>
      <c r="L28" s="151"/>
      <c r="M28" s="152"/>
      <c r="N28" s="77" t="n">
        <f aca="false">SUM(Tabela8[Kolumna11])</f>
        <v>44715.947254902</v>
      </c>
      <c r="O28" s="151"/>
      <c r="P28" s="233" t="n">
        <f aca="false">SUM(Tabela8[Kolumna12])*11</f>
        <v>110</v>
      </c>
      <c r="Q28" s="152"/>
      <c r="R28" s="152"/>
      <c r="S28" s="77" t="n">
        <f aca="false">SUM(Tabela8[Kolumna15])</f>
        <v>165.1</v>
      </c>
      <c r="T28" s="151"/>
      <c r="U28" s="77" t="n">
        <f aca="false">SUM(Tabela8[Kolumna16])</f>
        <v>0</v>
      </c>
      <c r="V28" s="155" t="n">
        <f aca="false">SUM(Tabela8[Kolumna17])</f>
        <v>0</v>
      </c>
      <c r="W28" s="77" t="n">
        <f aca="false">SUM(Tabela8[Kolumna18])</f>
        <v>0</v>
      </c>
      <c r="X28" s="152"/>
      <c r="Y28" s="77" t="n">
        <f aca="false">SUM(Tabela8[Kolumna21])*0.001</f>
        <v>796.254545454545</v>
      </c>
      <c r="Z28" s="156" t="s">
        <v>261</v>
      </c>
      <c r="AA28" s="156"/>
      <c r="AB28" s="159"/>
      <c r="AC28" s="157" t="n">
        <f aca="false">SUM(Tabela9[Kolumna4])</f>
        <v>392</v>
      </c>
      <c r="AD28" s="159"/>
      <c r="AE28" s="159"/>
      <c r="AF28" s="157" t="n">
        <f aca="false">SUM(Tabela9[Kolumna7])</f>
        <v>600</v>
      </c>
      <c r="AG28" s="159"/>
      <c r="AH28" s="159"/>
      <c r="AI28" s="160" t="n">
        <f aca="false">SUM(Tabela9[Kolumna10])</f>
        <v>5661.71428571429</v>
      </c>
      <c r="AJ28" s="159"/>
      <c r="AK28" s="161" t="n">
        <f aca="false">SUM(Tabela9[Kolumna12])</f>
        <v>0</v>
      </c>
    </row>
    <row r="29" customFormat="false" ht="15" hidden="false" customHeight="true" outlineLevel="0" collapsed="false">
      <c r="A29" s="80" t="s">
        <v>170</v>
      </c>
      <c r="B29" s="80"/>
      <c r="C29" s="80"/>
      <c r="D29" s="80"/>
      <c r="E29" s="234"/>
      <c r="F29" s="234"/>
      <c r="G29" s="234"/>
      <c r="H29" s="81" t="n">
        <f aca="false">H35*H30</f>
        <v>128.674529388</v>
      </c>
      <c r="I29" s="163"/>
      <c r="J29" s="163"/>
      <c r="K29" s="81" t="n">
        <f aca="false">K35*K30</f>
        <v>1.94236272741598</v>
      </c>
      <c r="L29" s="163"/>
      <c r="M29" s="163"/>
      <c r="N29" s="81" t="n">
        <f aca="false">N35*N30</f>
        <v>89.7299733930935</v>
      </c>
      <c r="O29" s="163"/>
      <c r="P29" s="164" t="n">
        <f aca="false">P35*P30</f>
        <v>0.425952</v>
      </c>
      <c r="Q29" s="163"/>
      <c r="R29" s="163"/>
      <c r="S29" s="81" t="n">
        <f aca="false">S30*S35</f>
        <v>0</v>
      </c>
      <c r="T29" s="163"/>
      <c r="U29" s="81" t="n">
        <f aca="false">U30*U35</f>
        <v>0</v>
      </c>
      <c r="V29" s="81" t="n">
        <f aca="false">V30*V35</f>
        <v>0</v>
      </c>
      <c r="W29" s="81" t="n">
        <f aca="false">W30*W35</f>
        <v>0</v>
      </c>
      <c r="X29" s="163"/>
      <c r="Y29" s="81" t="n">
        <f aca="false">Y28*Y30</f>
        <v>646.558690909091</v>
      </c>
      <c r="Z29" s="167" t="s">
        <v>262</v>
      </c>
      <c r="AA29" s="167"/>
      <c r="AB29" s="169"/>
      <c r="AC29" s="168" t="n">
        <v>9.2</v>
      </c>
      <c r="AD29" s="169"/>
      <c r="AE29" s="169"/>
      <c r="AF29" s="171" t="n">
        <v>6.96</v>
      </c>
      <c r="AG29" s="169"/>
      <c r="AH29" s="169"/>
      <c r="AI29" s="168" t="n">
        <v>10</v>
      </c>
      <c r="AJ29" s="169"/>
      <c r="AK29" s="171" t="n">
        <v>9.34</v>
      </c>
    </row>
    <row r="30" customFormat="false" ht="15" hidden="false" customHeight="true" outlineLevel="0" collapsed="false">
      <c r="A30" s="85" t="s">
        <v>172</v>
      </c>
      <c r="B30" s="85"/>
      <c r="C30" s="85"/>
      <c r="D30" s="85"/>
      <c r="E30" s="178"/>
      <c r="F30" s="178"/>
      <c r="G30" s="178"/>
      <c r="H30" s="88" t="n">
        <v>0.334</v>
      </c>
      <c r="I30" s="173"/>
      <c r="J30" s="173"/>
      <c r="K30" s="88" t="n">
        <v>0.276</v>
      </c>
      <c r="L30" s="173"/>
      <c r="M30" s="173"/>
      <c r="N30" s="88" t="n">
        <v>0.201</v>
      </c>
      <c r="O30" s="173"/>
      <c r="P30" s="174" t="n">
        <v>0.225</v>
      </c>
      <c r="Q30" s="173"/>
      <c r="R30" s="173"/>
      <c r="S30" s="88" t="n">
        <v>0</v>
      </c>
      <c r="T30" s="173"/>
      <c r="U30" s="88" t="n">
        <v>0</v>
      </c>
      <c r="V30" s="88" t="n">
        <v>0</v>
      </c>
      <c r="W30" s="88" t="n">
        <v>0</v>
      </c>
      <c r="X30" s="173"/>
      <c r="Y30" s="88" t="n">
        <v>0.812</v>
      </c>
      <c r="Z30" s="175" t="s">
        <v>263</v>
      </c>
      <c r="AA30" s="175"/>
      <c r="AB30" s="177"/>
      <c r="AC30" s="176" t="n">
        <v>0.247</v>
      </c>
      <c r="AD30" s="177"/>
      <c r="AE30" s="177"/>
      <c r="AF30" s="176" t="n">
        <v>0.225</v>
      </c>
      <c r="AG30" s="177"/>
      <c r="AH30" s="177"/>
      <c r="AI30" s="176" t="n">
        <v>0.264</v>
      </c>
      <c r="AJ30" s="177"/>
      <c r="AK30" s="179" t="n">
        <v>0</v>
      </c>
    </row>
    <row r="31" customFormat="false" ht="15" hidden="false" customHeight="true" outlineLevel="0" collapsed="false">
      <c r="A31" s="89" t="s">
        <v>174</v>
      </c>
      <c r="B31" s="89"/>
      <c r="C31" s="89"/>
      <c r="D31" s="235"/>
      <c r="E31" s="91"/>
      <c r="F31" s="91"/>
      <c r="G31" s="91"/>
      <c r="H31" s="183" t="n">
        <v>20700</v>
      </c>
      <c r="I31" s="184"/>
      <c r="J31" s="184"/>
      <c r="K31" s="183" t="n">
        <v>40190</v>
      </c>
      <c r="L31" s="184"/>
      <c r="M31" s="184"/>
      <c r="N31" s="183" t="n">
        <v>35.94</v>
      </c>
      <c r="O31" s="184"/>
      <c r="P31" s="94" t="n">
        <v>6.96</v>
      </c>
      <c r="Q31" s="184"/>
      <c r="R31" s="184"/>
      <c r="S31" s="183" t="n">
        <v>15600</v>
      </c>
      <c r="T31" s="184"/>
      <c r="U31" s="184"/>
      <c r="V31" s="184"/>
      <c r="W31" s="184"/>
      <c r="X31" s="236"/>
      <c r="Y31" s="184"/>
      <c r="Z31" s="185" t="s">
        <v>264</v>
      </c>
      <c r="AA31" s="185"/>
      <c r="AB31" s="191"/>
      <c r="AC31" s="186" t="n">
        <f aca="false">AC28*AC29/1000</f>
        <v>3.6064</v>
      </c>
      <c r="AD31" s="191"/>
      <c r="AE31" s="191"/>
      <c r="AF31" s="189" t="n">
        <f aca="false">AF28*AF29/1000</f>
        <v>4.176</v>
      </c>
      <c r="AG31" s="191"/>
      <c r="AH31" s="191"/>
      <c r="AI31" s="186" t="n">
        <f aca="false">AI28*AI29/1000</f>
        <v>56.6171428571429</v>
      </c>
      <c r="AJ31" s="191"/>
      <c r="AK31" s="189" t="n">
        <f aca="false">AK28*AK29/1000</f>
        <v>0</v>
      </c>
    </row>
    <row r="32" customFormat="false" ht="15" hidden="false" customHeight="true" outlineLevel="0" collapsed="false">
      <c r="A32" s="89" t="s">
        <v>176</v>
      </c>
      <c r="B32" s="89"/>
      <c r="C32" s="89"/>
      <c r="D32" s="235"/>
      <c r="E32" s="91"/>
      <c r="F32" s="91"/>
      <c r="G32" s="91"/>
      <c r="H32" s="184"/>
      <c r="I32" s="184"/>
      <c r="J32" s="184"/>
      <c r="K32" s="183" t="n">
        <v>0.0008438819</v>
      </c>
      <c r="L32" s="184"/>
      <c r="M32" s="184"/>
      <c r="N32" s="184"/>
      <c r="O32" s="184"/>
      <c r="P32" s="95"/>
      <c r="Q32" s="184"/>
      <c r="R32" s="184"/>
      <c r="S32" s="184"/>
      <c r="T32" s="184"/>
      <c r="U32" s="184"/>
      <c r="V32" s="184"/>
      <c r="W32" s="184"/>
      <c r="X32" s="237"/>
      <c r="Y32" s="184"/>
      <c r="Z32" s="194" t="s">
        <v>170</v>
      </c>
      <c r="AA32" s="194"/>
      <c r="AB32" s="200"/>
      <c r="AC32" s="195" t="n">
        <f aca="false">AC30*AC31</f>
        <v>0.8907808</v>
      </c>
      <c r="AD32" s="200"/>
      <c r="AE32" s="200"/>
      <c r="AF32" s="198" t="n">
        <f aca="false">AF31*AF30</f>
        <v>0.9396</v>
      </c>
      <c r="AG32" s="200"/>
      <c r="AH32" s="200"/>
      <c r="AI32" s="195" t="n">
        <f aca="false">AI30*AI31</f>
        <v>14.9469257142857</v>
      </c>
      <c r="AJ32" s="200"/>
      <c r="AK32" s="198" t="n">
        <v>0</v>
      </c>
    </row>
    <row r="33" customFormat="false" ht="14.25" hidden="false" customHeight="true" outlineLevel="0" collapsed="false">
      <c r="A33" s="89" t="s">
        <v>177</v>
      </c>
      <c r="B33" s="89"/>
      <c r="C33" s="89"/>
      <c r="D33" s="235"/>
      <c r="E33" s="91"/>
      <c r="F33" s="91"/>
      <c r="G33" s="91"/>
      <c r="H33" s="183" t="n">
        <f aca="false">H28</f>
        <v>67</v>
      </c>
      <c r="I33" s="184"/>
      <c r="J33" s="184"/>
      <c r="K33" s="183" t="n">
        <f aca="false">K28*K32</f>
        <v>0.6303797793</v>
      </c>
      <c r="L33" s="184"/>
      <c r="M33" s="184"/>
      <c r="N33" s="184"/>
      <c r="O33" s="184"/>
      <c r="P33" s="183" t="n">
        <f aca="false">P28*27.2/11</f>
        <v>272</v>
      </c>
      <c r="Q33" s="184"/>
      <c r="R33" s="184"/>
      <c r="S33" s="183" t="n">
        <f aca="false">S28</f>
        <v>165.1</v>
      </c>
      <c r="T33" s="184"/>
      <c r="U33" s="184"/>
      <c r="V33" s="184"/>
      <c r="W33" s="184"/>
      <c r="X33" s="237"/>
      <c r="Y33" s="184"/>
    </row>
    <row r="34" customFormat="false" ht="14.25" hidden="false" customHeight="true" outlineLevel="0" collapsed="false">
      <c r="A34" s="89" t="s">
        <v>178</v>
      </c>
      <c r="B34" s="89"/>
      <c r="C34" s="89"/>
      <c r="D34" s="235"/>
      <c r="E34" s="91"/>
      <c r="F34" s="91"/>
      <c r="G34" s="91"/>
      <c r="H34" s="183" t="n">
        <f aca="false">H28*H31</f>
        <v>1386900</v>
      </c>
      <c r="I34" s="184"/>
      <c r="J34" s="184"/>
      <c r="K34" s="183" t="n">
        <f aca="false">K33*K31</f>
        <v>25334.963330067</v>
      </c>
      <c r="L34" s="184"/>
      <c r="M34" s="184"/>
      <c r="N34" s="183" t="n">
        <f aca="false">N28*N31</f>
        <v>1607091.14434118</v>
      </c>
      <c r="O34" s="184"/>
      <c r="P34" s="184"/>
      <c r="Q34" s="184"/>
      <c r="R34" s="184"/>
      <c r="S34" s="183" t="n">
        <f aca="false">S28*S31</f>
        <v>2575560</v>
      </c>
      <c r="T34" s="184"/>
      <c r="U34" s="184"/>
      <c r="V34" s="184"/>
      <c r="W34" s="184"/>
      <c r="X34" s="238"/>
      <c r="Y34" s="184"/>
    </row>
    <row r="35" customFormat="false" ht="14.25" hidden="false" customHeight="true" outlineLevel="0" collapsed="false">
      <c r="A35" s="239" t="s">
        <v>179</v>
      </c>
      <c r="B35" s="239"/>
      <c r="C35" s="239"/>
      <c r="D35" s="240"/>
      <c r="E35" s="188"/>
      <c r="F35" s="188"/>
      <c r="G35" s="188"/>
      <c r="H35" s="100" t="n">
        <f aca="false">H34*0.00027778</f>
        <v>385.253082</v>
      </c>
      <c r="I35" s="206"/>
      <c r="J35" s="215"/>
      <c r="K35" s="100" t="n">
        <f aca="false">K34*0.00027778</f>
        <v>7.03754611382601</v>
      </c>
      <c r="L35" s="206"/>
      <c r="M35" s="215"/>
      <c r="N35" s="100" t="n">
        <f aca="false">N34*0.00027778</f>
        <v>446.417778075092</v>
      </c>
      <c r="O35" s="206"/>
      <c r="P35" s="189" t="n">
        <f aca="false">P33*P31/1000</f>
        <v>1.89312</v>
      </c>
      <c r="Q35" s="215"/>
      <c r="R35" s="215"/>
      <c r="S35" s="100" t="n">
        <f aca="false">S34*0.00027778</f>
        <v>715.4390568</v>
      </c>
      <c r="T35" s="206"/>
      <c r="U35" s="100" t="n">
        <f aca="false">U28*0.001</f>
        <v>0</v>
      </c>
      <c r="V35" s="100" t="n">
        <f aca="false">V28*0.001</f>
        <v>0</v>
      </c>
      <c r="W35" s="100" t="n">
        <f aca="false">W28*0.001</f>
        <v>0</v>
      </c>
      <c r="X35" s="215"/>
      <c r="Y35" s="100" t="n">
        <f aca="false">Y28</f>
        <v>796.254545454545</v>
      </c>
    </row>
    <row r="37" customFormat="false" ht="15" hidden="false" customHeight="false" outlineLevel="0" collapsed="false"/>
    <row r="38" customFormat="false" ht="26.25" hidden="false" customHeight="false" outlineLevel="0" collapsed="false">
      <c r="B38" s="241" t="s">
        <v>265</v>
      </c>
      <c r="C38" s="208" t="n">
        <v>26</v>
      </c>
    </row>
    <row r="39" customFormat="false" ht="26.25" hidden="false" customHeight="false" outlineLevel="0" collapsed="false">
      <c r="B39" s="241" t="s">
        <v>283</v>
      </c>
      <c r="C39" s="208" t="n">
        <v>43</v>
      </c>
    </row>
    <row r="42" customFormat="false" ht="15" hidden="false" customHeight="true" outlineLevel="0" collapsed="false">
      <c r="A42" s="73" t="s">
        <v>168</v>
      </c>
      <c r="B42" s="73"/>
      <c r="C42" s="73"/>
      <c r="D42" s="73"/>
      <c r="E42" s="231" t="n">
        <f aca="false">SUM(E29:E40)</f>
        <v>0</v>
      </c>
      <c r="F42" s="232"/>
      <c r="G42" s="159"/>
      <c r="H42" s="77" t="n">
        <f aca="false">H28*C39/C38</f>
        <v>110.807692307692</v>
      </c>
      <c r="I42" s="151"/>
      <c r="J42" s="152"/>
      <c r="K42" s="77" t="n">
        <f aca="false">K28*C39/C38</f>
        <v>1235.42307692308</v>
      </c>
      <c r="L42" s="151"/>
      <c r="M42" s="152"/>
      <c r="N42" s="77" t="n">
        <f aca="false">N28*C39/C38</f>
        <v>73953.2973831071</v>
      </c>
      <c r="O42" s="151"/>
      <c r="P42" s="154" t="n">
        <f aca="false">P28*C39/C38</f>
        <v>181.923076923077</v>
      </c>
      <c r="Q42" s="152"/>
      <c r="R42" s="152"/>
      <c r="S42" s="77" t="n">
        <f aca="false">S28*C39/C38</f>
        <v>273.05</v>
      </c>
      <c r="T42" s="151"/>
      <c r="U42" s="77" t="n">
        <f aca="false">U28*C39/C38</f>
        <v>0</v>
      </c>
      <c r="V42" s="155" t="n">
        <f aca="false">V28*C39/C38</f>
        <v>0</v>
      </c>
      <c r="W42" s="242" t="n">
        <f aca="false">W28*C39/C38</f>
        <v>0</v>
      </c>
      <c r="X42" s="152"/>
      <c r="Y42" s="77" t="n">
        <f aca="false">Y28*C39/C38</f>
        <v>1316.88251748252</v>
      </c>
      <c r="Z42" s="156" t="s">
        <v>261</v>
      </c>
      <c r="AA42" s="156"/>
      <c r="AB42" s="159"/>
      <c r="AC42" s="157" t="n">
        <f aca="false">AC28*C39/C38</f>
        <v>648.307692307692</v>
      </c>
      <c r="AD42" s="159"/>
      <c r="AE42" s="159"/>
      <c r="AF42" s="157" t="n">
        <f aca="false">AF28*C39/C38</f>
        <v>992.307692307692</v>
      </c>
      <c r="AG42" s="159"/>
      <c r="AH42" s="159"/>
      <c r="AI42" s="160" t="n">
        <f aca="false">AI28*C39/C38</f>
        <v>9363.60439560439</v>
      </c>
      <c r="AJ42" s="159"/>
      <c r="AK42" s="161" t="n">
        <f aca="false">AK28*C39/C38</f>
        <v>0</v>
      </c>
    </row>
    <row r="43" customFormat="false" ht="15" hidden="false" customHeight="true" outlineLevel="0" collapsed="false">
      <c r="A43" s="80" t="s">
        <v>170</v>
      </c>
      <c r="B43" s="80"/>
      <c r="C43" s="80"/>
      <c r="D43" s="80"/>
      <c r="E43" s="234"/>
      <c r="F43" s="234"/>
      <c r="G43" s="234"/>
      <c r="H43" s="81" t="n">
        <f aca="false">H49*H44</f>
        <v>212.807875526308</v>
      </c>
      <c r="I43" s="163"/>
      <c r="J43" s="163"/>
      <c r="K43" s="81" t="n">
        <f aca="false">K49*K44</f>
        <v>3.21236912611104</v>
      </c>
      <c r="L43" s="163"/>
      <c r="M43" s="163"/>
      <c r="N43" s="81" t="n">
        <f aca="false">N49*N44</f>
        <v>148.399571380885</v>
      </c>
      <c r="O43" s="163"/>
      <c r="P43" s="164" t="n">
        <f aca="false">P49*P44</f>
        <v>0.704459076923077</v>
      </c>
      <c r="Q43" s="163"/>
      <c r="R43" s="163"/>
      <c r="S43" s="81" t="n">
        <f aca="false">S44*S49</f>
        <v>0</v>
      </c>
      <c r="T43" s="163"/>
      <c r="U43" s="81" t="n">
        <f aca="false">U44*U49</f>
        <v>0</v>
      </c>
      <c r="V43" s="81" t="n">
        <f aca="false">V44*V49</f>
        <v>0</v>
      </c>
      <c r="W43" s="81" t="n">
        <f aca="false">W49*W44</f>
        <v>0</v>
      </c>
      <c r="X43" s="163"/>
      <c r="Y43" s="81" t="n">
        <f aca="false">Y42*Y44</f>
        <v>1069.3086041958</v>
      </c>
      <c r="Z43" s="167" t="s">
        <v>262</v>
      </c>
      <c r="AA43" s="167"/>
      <c r="AB43" s="169"/>
      <c r="AC43" s="168" t="n">
        <v>9.2</v>
      </c>
      <c r="AD43" s="169"/>
      <c r="AE43" s="169"/>
      <c r="AF43" s="171" t="n">
        <v>6.96</v>
      </c>
      <c r="AG43" s="169"/>
      <c r="AH43" s="169"/>
      <c r="AI43" s="168" t="n">
        <v>10</v>
      </c>
      <c r="AJ43" s="169"/>
      <c r="AK43" s="171" t="n">
        <v>9.34</v>
      </c>
    </row>
    <row r="44" customFormat="false" ht="15" hidden="false" customHeight="true" outlineLevel="0" collapsed="false">
      <c r="A44" s="85" t="s">
        <v>172</v>
      </c>
      <c r="B44" s="85"/>
      <c r="C44" s="85"/>
      <c r="D44" s="85"/>
      <c r="E44" s="178"/>
      <c r="F44" s="178"/>
      <c r="G44" s="178"/>
      <c r="H44" s="88" t="n">
        <v>0.334</v>
      </c>
      <c r="I44" s="173"/>
      <c r="J44" s="173"/>
      <c r="K44" s="88" t="n">
        <v>0.276</v>
      </c>
      <c r="L44" s="173"/>
      <c r="M44" s="173"/>
      <c r="N44" s="88" t="n">
        <v>0.201</v>
      </c>
      <c r="O44" s="173"/>
      <c r="P44" s="174" t="n">
        <v>0.225</v>
      </c>
      <c r="Q44" s="173"/>
      <c r="R44" s="173"/>
      <c r="S44" s="88" t="n">
        <v>0</v>
      </c>
      <c r="T44" s="173"/>
      <c r="U44" s="88" t="n">
        <v>0</v>
      </c>
      <c r="V44" s="88" t="n">
        <v>0</v>
      </c>
      <c r="W44" s="88" t="n">
        <v>0</v>
      </c>
      <c r="X44" s="173"/>
      <c r="Y44" s="88" t="n">
        <v>0.812</v>
      </c>
      <c r="Z44" s="175" t="s">
        <v>263</v>
      </c>
      <c r="AA44" s="175"/>
      <c r="AB44" s="177"/>
      <c r="AC44" s="176" t="n">
        <v>0.247</v>
      </c>
      <c r="AD44" s="177"/>
      <c r="AE44" s="177"/>
      <c r="AF44" s="176" t="n">
        <v>0.225</v>
      </c>
      <c r="AG44" s="177"/>
      <c r="AH44" s="177"/>
      <c r="AI44" s="176" t="n">
        <v>0.264</v>
      </c>
      <c r="AJ44" s="177"/>
      <c r="AK44" s="179" t="n">
        <v>0</v>
      </c>
    </row>
    <row r="45" customFormat="false" ht="15" hidden="false" customHeight="true" outlineLevel="0" collapsed="false">
      <c r="A45" s="89" t="s">
        <v>174</v>
      </c>
      <c r="B45" s="89"/>
      <c r="C45" s="89"/>
      <c r="D45" s="235"/>
      <c r="E45" s="91"/>
      <c r="F45" s="91"/>
      <c r="G45" s="91"/>
      <c r="H45" s="183" t="n">
        <v>20700</v>
      </c>
      <c r="I45" s="184"/>
      <c r="J45" s="184"/>
      <c r="K45" s="183" t="n">
        <v>40190</v>
      </c>
      <c r="L45" s="184"/>
      <c r="M45" s="184"/>
      <c r="N45" s="183" t="n">
        <v>35.94</v>
      </c>
      <c r="O45" s="184"/>
      <c r="P45" s="94" t="n">
        <v>6.96</v>
      </c>
      <c r="Q45" s="184"/>
      <c r="R45" s="184"/>
      <c r="S45" s="183" t="n">
        <v>15600</v>
      </c>
      <c r="T45" s="184"/>
      <c r="U45" s="184"/>
      <c r="V45" s="184"/>
      <c r="W45" s="184"/>
      <c r="X45" s="236"/>
      <c r="Y45" s="184"/>
      <c r="Z45" s="185" t="s">
        <v>264</v>
      </c>
      <c r="AA45" s="185"/>
      <c r="AB45" s="191"/>
      <c r="AC45" s="186" t="n">
        <f aca="false">AC42*AC43/1000</f>
        <v>5.96443076923077</v>
      </c>
      <c r="AD45" s="191"/>
      <c r="AE45" s="191"/>
      <c r="AF45" s="189" t="n">
        <f aca="false">AF42*AF43/1000</f>
        <v>6.90646153846154</v>
      </c>
      <c r="AG45" s="191"/>
      <c r="AH45" s="191"/>
      <c r="AI45" s="186" t="n">
        <f aca="false">AI42*AI43/1000</f>
        <v>93.6360439560439</v>
      </c>
      <c r="AJ45" s="191"/>
      <c r="AK45" s="189" t="n">
        <f aca="false">AK42*AK43/1000</f>
        <v>0</v>
      </c>
    </row>
    <row r="46" customFormat="false" ht="15" hidden="false" customHeight="true" outlineLevel="0" collapsed="false">
      <c r="A46" s="89" t="s">
        <v>176</v>
      </c>
      <c r="B46" s="89"/>
      <c r="C46" s="89"/>
      <c r="D46" s="235"/>
      <c r="E46" s="91"/>
      <c r="F46" s="91"/>
      <c r="G46" s="91"/>
      <c r="H46" s="184"/>
      <c r="I46" s="184"/>
      <c r="J46" s="184"/>
      <c r="K46" s="183" t="n">
        <v>0.0008438819</v>
      </c>
      <c r="L46" s="184"/>
      <c r="M46" s="184"/>
      <c r="N46" s="184"/>
      <c r="O46" s="184"/>
      <c r="P46" s="95"/>
      <c r="Q46" s="184"/>
      <c r="R46" s="184"/>
      <c r="S46" s="184"/>
      <c r="T46" s="184"/>
      <c r="U46" s="184"/>
      <c r="V46" s="184"/>
      <c r="W46" s="184"/>
      <c r="X46" s="237"/>
      <c r="Y46" s="184"/>
      <c r="Z46" s="194" t="s">
        <v>170</v>
      </c>
      <c r="AA46" s="194"/>
      <c r="AB46" s="200"/>
      <c r="AC46" s="195" t="n">
        <f aca="false">AC44*AC45</f>
        <v>1.4732144</v>
      </c>
      <c r="AD46" s="200"/>
      <c r="AE46" s="200"/>
      <c r="AF46" s="198" t="n">
        <f aca="false">AF45*AF44</f>
        <v>1.55395384615385</v>
      </c>
      <c r="AG46" s="200"/>
      <c r="AH46" s="200"/>
      <c r="AI46" s="195" t="n">
        <f aca="false">AI44*AI45</f>
        <v>24.7199156043956</v>
      </c>
      <c r="AJ46" s="200"/>
      <c r="AK46" s="201" t="n">
        <v>0</v>
      </c>
    </row>
    <row r="47" customFormat="false" ht="14.25" hidden="false" customHeight="true" outlineLevel="0" collapsed="false">
      <c r="A47" s="89" t="s">
        <v>177</v>
      </c>
      <c r="B47" s="89"/>
      <c r="C47" s="89"/>
      <c r="D47" s="235"/>
      <c r="E47" s="91"/>
      <c r="F47" s="91"/>
      <c r="G47" s="91"/>
      <c r="H47" s="183" t="n">
        <f aca="false">H42</f>
        <v>110.807692307692</v>
      </c>
      <c r="I47" s="184"/>
      <c r="J47" s="184"/>
      <c r="K47" s="183" t="n">
        <f aca="false">K42*K46</f>
        <v>1.04255117345769</v>
      </c>
      <c r="L47" s="184"/>
      <c r="M47" s="184"/>
      <c r="N47" s="184"/>
      <c r="O47" s="184"/>
      <c r="P47" s="183" t="n">
        <f aca="false">P42*27.2/11</f>
        <v>449.846153846154</v>
      </c>
      <c r="Q47" s="184"/>
      <c r="R47" s="184"/>
      <c r="S47" s="183" t="n">
        <f aca="false">S42</f>
        <v>273.05</v>
      </c>
      <c r="T47" s="184"/>
      <c r="U47" s="184"/>
      <c r="V47" s="184"/>
      <c r="W47" s="184"/>
      <c r="X47" s="237"/>
      <c r="Y47" s="184"/>
    </row>
    <row r="48" customFormat="false" ht="14.25" hidden="false" customHeight="true" outlineLevel="0" collapsed="false">
      <c r="A48" s="89" t="s">
        <v>178</v>
      </c>
      <c r="B48" s="89"/>
      <c r="C48" s="89"/>
      <c r="D48" s="235"/>
      <c r="E48" s="91"/>
      <c r="F48" s="91"/>
      <c r="G48" s="91"/>
      <c r="H48" s="183" t="n">
        <f aca="false">H42*H45</f>
        <v>2293719.23076923</v>
      </c>
      <c r="I48" s="184"/>
      <c r="J48" s="184"/>
      <c r="K48" s="183" t="n">
        <f aca="false">K47*K45</f>
        <v>41900.1316612647</v>
      </c>
      <c r="L48" s="184"/>
      <c r="M48" s="184"/>
      <c r="N48" s="183" t="n">
        <f aca="false">N42*N45</f>
        <v>2657881.50794887</v>
      </c>
      <c r="O48" s="184"/>
      <c r="P48" s="184"/>
      <c r="Q48" s="184"/>
      <c r="R48" s="184"/>
      <c r="S48" s="183" t="n">
        <f aca="false">S42*S45</f>
        <v>4259580</v>
      </c>
      <c r="T48" s="184"/>
      <c r="U48" s="184"/>
      <c r="V48" s="184"/>
      <c r="W48" s="184"/>
      <c r="X48" s="238"/>
      <c r="Y48" s="184"/>
    </row>
    <row r="49" customFormat="false" ht="14.25" hidden="false" customHeight="true" outlineLevel="0" collapsed="false">
      <c r="A49" s="239" t="s">
        <v>179</v>
      </c>
      <c r="B49" s="239"/>
      <c r="C49" s="239"/>
      <c r="D49" s="240"/>
      <c r="E49" s="188"/>
      <c r="F49" s="188"/>
      <c r="G49" s="188"/>
      <c r="H49" s="100" t="n">
        <f aca="false">H48*0.00027778</f>
        <v>637.149327923077</v>
      </c>
      <c r="I49" s="206"/>
      <c r="J49" s="216"/>
      <c r="K49" s="100" t="n">
        <f aca="false">K48*0.00027778</f>
        <v>11.6390185728661</v>
      </c>
      <c r="L49" s="206"/>
      <c r="M49" s="215"/>
      <c r="N49" s="100" t="n">
        <f aca="false">N48*0.00027778</f>
        <v>738.306325278037</v>
      </c>
      <c r="O49" s="206"/>
      <c r="P49" s="189" t="n">
        <f aca="false">P47*P45/1000</f>
        <v>3.13092923076923</v>
      </c>
      <c r="Q49" s="215"/>
      <c r="R49" s="215"/>
      <c r="S49" s="100" t="n">
        <f aca="false">S48*0.00027778</f>
        <v>1183.2261324</v>
      </c>
      <c r="T49" s="206"/>
      <c r="U49" s="100" t="n">
        <f aca="false">U42*0.001</f>
        <v>0</v>
      </c>
      <c r="V49" s="100" t="n">
        <f aca="false">V42*0.001</f>
        <v>0</v>
      </c>
      <c r="W49" s="100" t="n">
        <f aca="false">W42*0.001</f>
        <v>0</v>
      </c>
      <c r="X49" s="215"/>
      <c r="Y49" s="100" t="n">
        <f aca="false">Y42</f>
        <v>1316.88251748252</v>
      </c>
    </row>
  </sheetData>
  <mergeCells count="44">
    <mergeCell ref="A1:Y1"/>
    <mergeCell ref="A2:A4"/>
    <mergeCell ref="B2:B4"/>
    <mergeCell ref="C2:C4"/>
    <mergeCell ref="D2:D4"/>
    <mergeCell ref="E2:E3"/>
    <mergeCell ref="G2:G4"/>
    <mergeCell ref="H2:Q2"/>
    <mergeCell ref="S2:W2"/>
    <mergeCell ref="Y2:Y3"/>
    <mergeCell ref="Z2:AL2"/>
    <mergeCell ref="AN2:AQ3"/>
    <mergeCell ref="H3:I3"/>
    <mergeCell ref="K3:L3"/>
    <mergeCell ref="M3:O3"/>
    <mergeCell ref="R3:T3"/>
    <mergeCell ref="Z3:Z4"/>
    <mergeCell ref="AA3:AK3"/>
    <mergeCell ref="A28:D28"/>
    <mergeCell ref="Z28:AA28"/>
    <mergeCell ref="A29:D29"/>
    <mergeCell ref="Z29:AA29"/>
    <mergeCell ref="A30:D30"/>
    <mergeCell ref="Z30:AA30"/>
    <mergeCell ref="A31:C31"/>
    <mergeCell ref="Z31:AA31"/>
    <mergeCell ref="A32:C32"/>
    <mergeCell ref="Z32:AA32"/>
    <mergeCell ref="A33:C33"/>
    <mergeCell ref="A34:C34"/>
    <mergeCell ref="A35:C35"/>
    <mergeCell ref="A42:D42"/>
    <mergeCell ref="Z42:AA42"/>
    <mergeCell ref="A43:D43"/>
    <mergeCell ref="Z43:AA43"/>
    <mergeCell ref="A44:D44"/>
    <mergeCell ref="Z44:AA44"/>
    <mergeCell ref="A45:C45"/>
    <mergeCell ref="Z45:AA45"/>
    <mergeCell ref="A46:C46"/>
    <mergeCell ref="Z46:AA46"/>
    <mergeCell ref="A47:C47"/>
    <mergeCell ref="A48:C48"/>
    <mergeCell ref="A49:C49"/>
  </mergeCells>
  <conditionalFormatting sqref="AL2:AL4 AA2:AK2 AA4:AK4 Z2:Z4 AM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M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M2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K10" activeCellId="0" sqref="K10"/>
    </sheetView>
  </sheetViews>
  <sheetFormatPr defaultRowHeight="14.25" zeroHeight="false" outlineLevelRow="0" outlineLevelCol="0"/>
  <cols>
    <col collapsed="false" customWidth="true" hidden="false" outlineLevel="0" max="1" min="1" style="0" width="28.13"/>
    <col collapsed="false" customWidth="true" hidden="false" outlineLevel="0" max="2" min="2" style="0" width="10.75"/>
    <col collapsed="false" customWidth="false" hidden="false" outlineLevel="0" max="3" min="3" style="0" width="11.5"/>
    <col collapsed="false" customWidth="true" hidden="false" outlineLevel="0" max="5" min="4" style="0" width="12.13"/>
    <col collapsed="false" customWidth="true" hidden="false" outlineLevel="0" max="6" min="6" style="0" width="14.62"/>
    <col collapsed="false" customWidth="true" hidden="false" outlineLevel="0" max="7" min="7" style="0" width="16"/>
    <col collapsed="false" customWidth="true" hidden="false" outlineLevel="0" max="8" min="8" style="0" width="25.25"/>
    <col collapsed="false" customWidth="true" hidden="false" outlineLevel="0" max="1025" min="9" style="0" width="8.61"/>
  </cols>
  <sheetData>
    <row r="2" customFormat="false" ht="16.5" hidden="false" customHeight="false" outlineLevel="0" collapsed="false">
      <c r="A2" s="243"/>
      <c r="B2" s="244"/>
    </row>
    <row r="3" customFormat="false" ht="16.5" hidden="false" customHeight="true" outlineLevel="0" collapsed="false">
      <c r="A3" s="245" t="s">
        <v>284</v>
      </c>
      <c r="B3" s="245" t="s">
        <v>285</v>
      </c>
      <c r="C3" s="246" t="s">
        <v>286</v>
      </c>
      <c r="D3" s="246"/>
      <c r="E3" s="246"/>
      <c r="F3" s="246"/>
      <c r="G3" s="246" t="s">
        <v>287</v>
      </c>
    </row>
    <row r="4" customFormat="false" ht="31.5" hidden="false" customHeight="false" outlineLevel="0" collapsed="false">
      <c r="A4" s="245"/>
      <c r="B4" s="245"/>
      <c r="C4" s="247" t="s">
        <v>205</v>
      </c>
      <c r="D4" s="248" t="s">
        <v>213</v>
      </c>
      <c r="E4" s="247" t="s">
        <v>209</v>
      </c>
      <c r="F4" s="247" t="s">
        <v>288</v>
      </c>
      <c r="G4" s="246"/>
    </row>
    <row r="5" customFormat="false" ht="16.5" hidden="false" customHeight="false" outlineLevel="0" collapsed="false">
      <c r="A5" s="243" t="s">
        <v>45</v>
      </c>
      <c r="B5" s="249" t="s">
        <v>46</v>
      </c>
      <c r="C5" s="227" t="s">
        <v>47</v>
      </c>
      <c r="D5" s="227" t="s">
        <v>49</v>
      </c>
      <c r="E5" s="227" t="s">
        <v>50</v>
      </c>
      <c r="F5" s="227" t="s">
        <v>52</v>
      </c>
      <c r="G5" s="227" t="s">
        <v>54</v>
      </c>
    </row>
    <row r="6" customFormat="false" ht="27" hidden="false" customHeight="true" outlineLevel="0" collapsed="false">
      <c r="A6" s="250" t="s">
        <v>289</v>
      </c>
      <c r="B6" s="251"/>
      <c r="C6" s="251" t="n">
        <v>42.98</v>
      </c>
      <c r="D6" s="252" t="n">
        <v>278.22</v>
      </c>
      <c r="E6" s="40"/>
      <c r="F6" s="40"/>
      <c r="G6" s="251"/>
      <c r="H6" s="1"/>
      <c r="J6" s="253"/>
    </row>
    <row r="7" customFormat="false" ht="15.75" hidden="false" customHeight="false" outlineLevel="0" collapsed="false">
      <c r="A7" s="254" t="s">
        <v>290</v>
      </c>
      <c r="B7" s="251"/>
      <c r="C7" s="251" t="n">
        <v>131.1</v>
      </c>
      <c r="D7" s="252" t="n">
        <v>1471.9</v>
      </c>
      <c r="E7" s="40"/>
      <c r="F7" s="40"/>
      <c r="G7" s="251"/>
      <c r="H7" s="1"/>
    </row>
    <row r="8" customFormat="false" ht="15.75" hidden="false" customHeight="false" outlineLevel="0" collapsed="false">
      <c r="A8" s="251" t="s">
        <v>291</v>
      </c>
      <c r="B8" s="251"/>
      <c r="C8" s="255" t="n">
        <v>414.22</v>
      </c>
      <c r="D8" s="251" t="n">
        <v>599.94</v>
      </c>
      <c r="E8" s="40"/>
      <c r="F8" s="40"/>
      <c r="G8" s="251"/>
    </row>
    <row r="9" customFormat="false" ht="15.75" hidden="false" customHeight="false" outlineLevel="0" collapsed="false">
      <c r="A9" s="251" t="s">
        <v>292</v>
      </c>
      <c r="B9" s="256"/>
      <c r="C9" s="255" t="n">
        <v>162.35</v>
      </c>
      <c r="D9" s="251" t="n">
        <v>324.58</v>
      </c>
      <c r="E9" s="228"/>
      <c r="F9" s="228"/>
      <c r="G9" s="251"/>
    </row>
    <row r="10" customFormat="false" ht="22.5" hidden="false" customHeight="true" outlineLevel="0" collapsed="false">
      <c r="A10" s="251" t="s">
        <v>293</v>
      </c>
      <c r="B10" s="256"/>
      <c r="C10" s="255" t="n">
        <v>110.9</v>
      </c>
      <c r="D10" s="251" t="n">
        <v>493.16</v>
      </c>
      <c r="E10" s="228"/>
      <c r="F10" s="228"/>
      <c r="G10" s="257"/>
    </row>
    <row r="11" customFormat="false" ht="15.75" hidden="false" customHeight="false" outlineLevel="0" collapsed="false">
      <c r="A11" s="256" t="s">
        <v>294</v>
      </c>
      <c r="B11" s="251"/>
      <c r="C11" s="255" t="n">
        <v>33.8</v>
      </c>
      <c r="D11" s="251" t="n">
        <v>276.2</v>
      </c>
      <c r="E11" s="228"/>
      <c r="F11" s="228"/>
      <c r="G11" s="257"/>
    </row>
    <row r="12" customFormat="false" ht="15.75" hidden="false" customHeight="false" outlineLevel="0" collapsed="false">
      <c r="A12" s="251" t="s">
        <v>295</v>
      </c>
      <c r="B12" s="251" t="n">
        <v>2009</v>
      </c>
      <c r="C12" s="255"/>
      <c r="D12" s="251" t="n">
        <v>201.01</v>
      </c>
      <c r="E12" s="228"/>
      <c r="F12" s="228"/>
      <c r="G12" s="257"/>
    </row>
    <row r="13" customFormat="false" ht="15.75" hidden="false" customHeight="false" outlineLevel="0" collapsed="false">
      <c r="A13" s="251" t="s">
        <v>296</v>
      </c>
      <c r="B13" s="251" t="n">
        <v>2012</v>
      </c>
      <c r="C13" s="255"/>
      <c r="D13" s="228" t="n">
        <v>4891.21</v>
      </c>
      <c r="E13" s="228"/>
      <c r="F13" s="228"/>
      <c r="G13" s="257"/>
    </row>
    <row r="14" customFormat="false" ht="15.75" hidden="false" customHeight="false" outlineLevel="0" collapsed="false">
      <c r="A14" s="251" t="s">
        <v>297</v>
      </c>
      <c r="B14" s="251" t="n">
        <v>2013</v>
      </c>
      <c r="C14" s="255"/>
      <c r="D14" s="251" t="n">
        <v>1980.34</v>
      </c>
      <c r="E14" s="228"/>
      <c r="F14" s="228"/>
      <c r="G14" s="257"/>
    </row>
    <row r="15" customFormat="false" ht="16.5" hidden="false" customHeight="true" outlineLevel="0" collapsed="false">
      <c r="A15" s="251"/>
      <c r="B15" s="251"/>
      <c r="C15" s="255"/>
      <c r="D15" s="251"/>
      <c r="E15" s="228"/>
      <c r="F15" s="228"/>
      <c r="G15" s="228"/>
    </row>
    <row r="17" customFormat="false" ht="14.25" hidden="false" customHeight="false" outlineLevel="0" collapsed="false">
      <c r="A17" s="258" t="s">
        <v>261</v>
      </c>
      <c r="B17" s="258"/>
      <c r="C17" s="259" t="n">
        <f aca="false">SUM(Tabela1[Kolumna3])</f>
        <v>895.35</v>
      </c>
      <c r="D17" s="259" t="n">
        <f aca="false">SUM(Tabela1[Kolumna4])</f>
        <v>10516.56</v>
      </c>
      <c r="E17" s="259" t="n">
        <f aca="false">SUM(Tabela1[Kolumna5])</f>
        <v>0</v>
      </c>
      <c r="F17" s="259" t="n">
        <f aca="false">SUM(Tabela1[Kolumna6])</f>
        <v>0</v>
      </c>
    </row>
    <row r="18" customFormat="false" ht="15" hidden="false" customHeight="true" outlineLevel="0" collapsed="false">
      <c r="A18" s="260" t="s">
        <v>262</v>
      </c>
      <c r="B18" s="260"/>
      <c r="C18" s="261" t="n">
        <v>9.2</v>
      </c>
      <c r="D18" s="261" t="n">
        <v>10</v>
      </c>
      <c r="E18" s="262"/>
      <c r="F18" s="263"/>
    </row>
    <row r="19" customFormat="false" ht="15.75" hidden="false" customHeight="true" outlineLevel="0" collapsed="false">
      <c r="A19" s="264" t="s">
        <v>263</v>
      </c>
      <c r="B19" s="264"/>
      <c r="C19" s="265" t="n">
        <v>0.247</v>
      </c>
      <c r="D19" s="265" t="n">
        <v>0.264</v>
      </c>
      <c r="E19" s="265" t="n">
        <v>0.225</v>
      </c>
      <c r="F19" s="266" t="n">
        <v>0</v>
      </c>
      <c r="G19" s="267" t="s">
        <v>298</v>
      </c>
    </row>
    <row r="20" customFormat="false" ht="15.75" hidden="false" customHeight="false" outlineLevel="0" collapsed="false">
      <c r="A20" s="268" t="s">
        <v>264</v>
      </c>
      <c r="B20" s="268"/>
      <c r="C20" s="269" t="n">
        <f aca="false">C17*C18/1000</f>
        <v>8.23722</v>
      </c>
      <c r="D20" s="269" t="n">
        <f aca="false">D17*D18/1000</f>
        <v>105.1656</v>
      </c>
      <c r="E20" s="269" t="n">
        <f aca="false">E17*E18/1000</f>
        <v>0</v>
      </c>
      <c r="F20" s="270" t="n">
        <f aca="false">F17*F18/1000</f>
        <v>0</v>
      </c>
      <c r="G20" s="271" t="n">
        <f aca="false">SUM(C20:F20)</f>
        <v>113.40282</v>
      </c>
    </row>
    <row r="21" customFormat="false" ht="15.75" hidden="false" customHeight="false" outlineLevel="0" collapsed="false">
      <c r="A21" s="272" t="s">
        <v>170</v>
      </c>
      <c r="B21" s="272"/>
      <c r="C21" s="273" t="n">
        <f aca="false">C19*C20</f>
        <v>2.03459334</v>
      </c>
      <c r="D21" s="273" t="n">
        <f aca="false">D19*D20</f>
        <v>27.7637184</v>
      </c>
      <c r="E21" s="273" t="n">
        <f aca="false">E19*E20</f>
        <v>0</v>
      </c>
      <c r="F21" s="274" t="n">
        <f aca="false">F19*F20</f>
        <v>0</v>
      </c>
      <c r="G21" s="275" t="n">
        <f aca="false">SUM(C21:F21)</f>
        <v>29.79831174</v>
      </c>
    </row>
    <row r="22" customFormat="false" ht="15" hidden="false" customHeight="false" outlineLevel="0" collapsed="false"/>
    <row r="23" customFormat="false" ht="16.5" hidden="false" customHeight="true" outlineLevel="0" collapsed="false">
      <c r="A23" s="245" t="s">
        <v>299</v>
      </c>
      <c r="B23" s="245"/>
      <c r="C23" s="276" t="s">
        <v>286</v>
      </c>
      <c r="D23" s="276"/>
      <c r="E23" s="276"/>
      <c r="F23" s="276"/>
      <c r="G23" s="277"/>
    </row>
    <row r="24" customFormat="false" ht="31.5" hidden="false" customHeight="false" outlineLevel="0" collapsed="false">
      <c r="A24" s="245"/>
      <c r="B24" s="245"/>
      <c r="C24" s="247" t="s">
        <v>205</v>
      </c>
      <c r="D24" s="248" t="s">
        <v>213</v>
      </c>
      <c r="E24" s="247" t="s">
        <v>209</v>
      </c>
      <c r="F24" s="276" t="s">
        <v>288</v>
      </c>
      <c r="G24" s="277"/>
    </row>
    <row r="25" customFormat="false" ht="16.5" hidden="false" customHeight="false" outlineLevel="0" collapsed="false">
      <c r="A25" s="243" t="s">
        <v>45</v>
      </c>
      <c r="B25" s="249" t="s">
        <v>46</v>
      </c>
      <c r="C25" s="227" t="s">
        <v>47</v>
      </c>
      <c r="D25" s="227" t="s">
        <v>49</v>
      </c>
      <c r="E25" s="227" t="s">
        <v>50</v>
      </c>
      <c r="F25" s="227" t="s">
        <v>52</v>
      </c>
    </row>
    <row r="26" customFormat="false" ht="15.75" hidden="false" customHeight="false" outlineLevel="0" collapsed="false">
      <c r="A26" s="258" t="s">
        <v>261</v>
      </c>
      <c r="B26" s="258"/>
      <c r="C26" s="278" t="n">
        <f aca="false">SUM('Budynki mieszkalne'!AE353,'Budynki usługowe'!AC42)</f>
        <v>881062.71919123</v>
      </c>
      <c r="D26" s="278" t="n">
        <f aca="false">SUM('Budynki mieszkalne'!AM353,'Budynki usługowe'!AI42)</f>
        <v>583086.293045912</v>
      </c>
      <c r="E26" s="278" t="n">
        <f aca="false">SUM('Budynki mieszkalne'!AI353,'Budynki usługowe'!AF42)</f>
        <v>439482.377029037</v>
      </c>
      <c r="F26" s="278" t="n">
        <f aca="false">SUM('Budynki mieszkalne'!AO353,'Budynki usługowe'!AK42)</f>
        <v>22801.7484662577</v>
      </c>
      <c r="G26" s="279"/>
    </row>
    <row r="27" customFormat="false" ht="28.5" hidden="false" customHeight="false" outlineLevel="0" collapsed="false">
      <c r="A27" s="260" t="s">
        <v>262</v>
      </c>
      <c r="B27" s="260"/>
      <c r="C27" s="260" t="n">
        <v>9.2</v>
      </c>
      <c r="D27" s="260" t="n">
        <v>10</v>
      </c>
      <c r="E27" s="260" t="n">
        <v>6.96</v>
      </c>
      <c r="F27" s="260" t="n">
        <v>9.34</v>
      </c>
      <c r="G27" s="1"/>
    </row>
    <row r="28" customFormat="false" ht="14.25" hidden="false" customHeight="false" outlineLevel="0" collapsed="false">
      <c r="A28" s="264" t="s">
        <v>263</v>
      </c>
      <c r="B28" s="264"/>
      <c r="C28" s="264" t="n">
        <v>0.247</v>
      </c>
      <c r="D28" s="264" t="n">
        <v>0.264</v>
      </c>
      <c r="E28" s="264" t="n">
        <v>0.225</v>
      </c>
      <c r="F28" s="264" t="n">
        <v>0</v>
      </c>
      <c r="G28" s="1"/>
    </row>
    <row r="29" customFormat="false" ht="15" hidden="false" customHeight="false" outlineLevel="0" collapsed="false">
      <c r="A29" s="268" t="s">
        <v>264</v>
      </c>
      <c r="B29" s="268"/>
      <c r="C29" s="280" t="n">
        <f aca="false">C26*C27/1000</f>
        <v>8105.77701655931</v>
      </c>
      <c r="D29" s="280" t="n">
        <f aca="false">D26*D27/1000</f>
        <v>5830.86293045912</v>
      </c>
      <c r="E29" s="280" t="n">
        <f aca="false">E26*E27/1000</f>
        <v>3058.7973441221</v>
      </c>
      <c r="F29" s="280" t="n">
        <f aca="false">F26*F27/1000</f>
        <v>212.968330674847</v>
      </c>
      <c r="G29" s="1"/>
    </row>
    <row r="30" customFormat="false" ht="15" hidden="false" customHeight="false" outlineLevel="0" collapsed="false">
      <c r="A30" s="272" t="s">
        <v>170</v>
      </c>
      <c r="B30" s="272"/>
      <c r="C30" s="281" t="n">
        <f aca="false">C28*C29</f>
        <v>2002.12692309015</v>
      </c>
      <c r="D30" s="281" t="n">
        <f aca="false">D28*D29</f>
        <v>1539.34781364121</v>
      </c>
      <c r="E30" s="281" t="n">
        <f aca="false">E29*E28</f>
        <v>688.229402427472</v>
      </c>
      <c r="F30" s="281" t="n">
        <f aca="false">F28*F29</f>
        <v>0</v>
      </c>
      <c r="G30" s="1"/>
    </row>
  </sheetData>
  <mergeCells count="12">
    <mergeCell ref="A3:A4"/>
    <mergeCell ref="B3:B4"/>
    <mergeCell ref="C3:F3"/>
    <mergeCell ref="G3:G4"/>
    <mergeCell ref="A17:B17"/>
    <mergeCell ref="A18:B18"/>
    <mergeCell ref="A19:B19"/>
    <mergeCell ref="A20:B20"/>
    <mergeCell ref="A21:B21"/>
    <mergeCell ref="A23:B24"/>
    <mergeCell ref="C23:F23"/>
    <mergeCell ref="G23:G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4.25" zeroHeight="false" outlineLevelRow="0" outlineLevelCol="0"/>
  <cols>
    <col collapsed="false" customWidth="true" hidden="false" outlineLevel="0" max="1" min="1" style="0" width="8.61"/>
    <col collapsed="false" customWidth="true" hidden="false" outlineLevel="0" max="2" min="2" style="0" width="30.5"/>
    <col collapsed="false" customWidth="true" hidden="false" outlineLevel="0" max="3" min="3" style="0" width="28.38"/>
    <col collapsed="false" customWidth="true" hidden="false" outlineLevel="0" max="4" min="4" style="0" width="28.75"/>
    <col collapsed="false" customWidth="true" hidden="false" outlineLevel="0" max="5" min="5" style="0" width="17"/>
    <col collapsed="false" customWidth="true" hidden="false" outlineLevel="0" max="1025" min="6" style="0" width="8.61"/>
  </cols>
  <sheetData>
    <row r="2" customFormat="false" ht="15" hidden="false" customHeight="false" outlineLevel="0" collapsed="false"/>
    <row r="3" customFormat="false" ht="16.5" hidden="false" customHeight="false" outlineLevel="0" collapsed="false">
      <c r="B3" s="218" t="s">
        <v>300</v>
      </c>
      <c r="C3" s="282" t="s">
        <v>301</v>
      </c>
      <c r="D3" s="283" t="s">
        <v>302</v>
      </c>
      <c r="E3" s="268" t="s">
        <v>170</v>
      </c>
    </row>
    <row r="4" customFormat="false" ht="16.5" hidden="false" customHeight="false" outlineLevel="0" collapsed="false">
      <c r="B4" s="218"/>
      <c r="C4" s="282" t="n">
        <v>378.98</v>
      </c>
      <c r="D4" s="88" t="n">
        <v>0.812</v>
      </c>
      <c r="E4" s="268" t="n">
        <f aca="false">C4*D4</f>
        <v>307.73176</v>
      </c>
    </row>
    <row r="5" customFormat="false" ht="15" hidden="false" customHeight="false" outlineLevel="0" collapsed="false"/>
  </sheetData>
  <mergeCells count="1">
    <mergeCell ref="B3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1"/>
  <sheetViews>
    <sheetView showFormulas="false" showGridLines="false" showRowColHeaders="true" showZeros="true" rightToLeft="false" tabSelected="false" showOutlineSymbols="true" defaultGridColor="true" view="normal" topLeftCell="A8" colorId="64" zoomScale="70" zoomScaleNormal="70" zoomScalePageLayoutView="100" workbookViewId="0">
      <selection pane="topLeft" activeCell="U27" activeCellId="0" sqref="U27"/>
    </sheetView>
  </sheetViews>
  <sheetFormatPr defaultRowHeight="14.25" zeroHeight="false" outlineLevelRow="0" outlineLevelCol="0"/>
  <cols>
    <col collapsed="false" customWidth="true" hidden="false" outlineLevel="0" max="1" min="1" style="0" width="8.61"/>
    <col collapsed="false" customWidth="true" hidden="false" outlineLevel="0" max="2" min="2" style="0" width="9"/>
    <col collapsed="false" customWidth="true" hidden="false" outlineLevel="0" max="3" min="3" style="0" width="8.61"/>
    <col collapsed="false" customWidth="true" hidden="false" outlineLevel="0" max="4" min="4" style="0" width="9"/>
    <col collapsed="false" customWidth="true" hidden="false" outlineLevel="0" max="5" min="5" style="0" width="12.75"/>
    <col collapsed="false" customWidth="true" hidden="false" outlineLevel="0" max="6" min="6" style="0" width="10.87"/>
    <col collapsed="false" customWidth="true" hidden="false" outlineLevel="0" max="20" min="7" style="0" width="8.61"/>
    <col collapsed="false" customWidth="true" hidden="false" outlineLevel="0" max="21" min="21" style="0" width="11.13"/>
    <col collapsed="false" customWidth="true" hidden="false" outlineLevel="0" max="1025" min="22" style="0" width="8.61"/>
  </cols>
  <sheetData>
    <row r="1" customFormat="false" ht="15" hidden="false" customHeight="false" outlineLevel="0" collapsed="false">
      <c r="A1" s="284" t="s">
        <v>303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3" customFormat="false" ht="15" hidden="false" customHeight="false" outlineLevel="0" collapsed="false">
      <c r="A3" s="285" t="s">
        <v>304</v>
      </c>
      <c r="B3" s="285"/>
      <c r="C3" s="285"/>
      <c r="D3" s="286" t="n">
        <v>2014</v>
      </c>
      <c r="E3" s="286"/>
    </row>
    <row r="4" customFormat="false" ht="15" hidden="false" customHeight="false" outlineLevel="0" collapsed="false">
      <c r="A4" s="287" t="s">
        <v>305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6"/>
      <c r="N4" s="286"/>
    </row>
    <row r="6" customFormat="false" ht="15" hidden="false" customHeight="false" outlineLevel="0" collapsed="false">
      <c r="A6" s="288" t="s">
        <v>306</v>
      </c>
      <c r="B6" s="289"/>
    </row>
    <row r="7" customFormat="false" ht="14.25" hidden="false" customHeight="false" outlineLevel="0" collapsed="false">
      <c r="A7" s="290" t="s">
        <v>307</v>
      </c>
      <c r="B7" s="289"/>
      <c r="I7" s="291" t="s">
        <v>308</v>
      </c>
      <c r="J7" s="292" t="s">
        <v>309</v>
      </c>
      <c r="K7" s="292"/>
      <c r="L7" s="292"/>
      <c r="M7" s="292"/>
      <c r="N7" s="292"/>
    </row>
    <row r="8" customFormat="false" ht="5.25" hidden="false" customHeight="true" outlineLevel="0" collapsed="false"/>
    <row r="9" customFormat="false" ht="14.25" hidden="false" customHeight="false" outlineLevel="0" collapsed="false">
      <c r="I9" s="293"/>
      <c r="J9" s="294" t="s">
        <v>310</v>
      </c>
      <c r="K9" s="289"/>
    </row>
    <row r="10" customFormat="false" ht="15" hidden="false" customHeight="false" outlineLevel="0" collapsed="false">
      <c r="A10" s="288" t="s">
        <v>311</v>
      </c>
      <c r="B10" s="289"/>
    </row>
    <row r="11" customFormat="false" ht="18.75" hidden="false" customHeight="false" outlineLevel="0" collapsed="false">
      <c r="A11" s="290" t="s">
        <v>312</v>
      </c>
      <c r="B11" s="289"/>
      <c r="I11" s="291" t="s">
        <v>308</v>
      </c>
      <c r="J11" s="292" t="s">
        <v>313</v>
      </c>
      <c r="K11" s="292"/>
    </row>
    <row r="12" customFormat="false" ht="4.5" hidden="false" customHeight="true" outlineLevel="0" collapsed="false"/>
    <row r="13" customFormat="false" ht="18.75" hidden="false" customHeight="false" outlineLevel="0" collapsed="false">
      <c r="A13" s="288" t="s">
        <v>314</v>
      </c>
      <c r="B13" s="289"/>
      <c r="I13" s="293"/>
      <c r="J13" s="294" t="s">
        <v>315</v>
      </c>
      <c r="K13" s="289"/>
    </row>
    <row r="14" customFormat="false" ht="6.75" hidden="false" customHeight="true" outlineLevel="0" collapsed="false"/>
    <row r="15" customFormat="false" ht="14.25" hidden="false" customHeight="false" outlineLevel="0" collapsed="false">
      <c r="A15" s="295" t="s">
        <v>316</v>
      </c>
      <c r="B15" s="295"/>
      <c r="C15" s="295"/>
      <c r="D15" s="296" t="s">
        <v>317</v>
      </c>
      <c r="E15" s="296"/>
      <c r="F15" s="296"/>
      <c r="H15" s="297" t="s">
        <v>318</v>
      </c>
      <c r="I15" s="298"/>
      <c r="J15" s="299"/>
    </row>
    <row r="17" customFormat="false" ht="15" hidden="false" customHeight="false" outlineLevel="0" collapsed="false">
      <c r="A17" s="285" t="s">
        <v>319</v>
      </c>
      <c r="B17" s="285"/>
      <c r="C17" s="285"/>
    </row>
    <row r="18" customFormat="false" ht="14.25" hidden="false" customHeight="false" outlineLevel="0" collapsed="false">
      <c r="A18" s="300" t="s">
        <v>320</v>
      </c>
      <c r="B18" s="300"/>
      <c r="C18" s="300"/>
      <c r="D18" s="300"/>
      <c r="E18" s="300"/>
      <c r="F18" s="300"/>
      <c r="G18" s="300"/>
    </row>
    <row r="20" customFormat="false" ht="15" hidden="false" customHeight="false" outlineLevel="0" collapsed="false">
      <c r="A20" s="301" t="s">
        <v>321</v>
      </c>
      <c r="B20" s="301"/>
      <c r="C20" s="301"/>
      <c r="D20" s="301"/>
      <c r="E20" s="301"/>
      <c r="F20" s="301" t="s">
        <v>322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</row>
    <row r="21" customFormat="false" ht="14.25" hidden="false" customHeight="true" outlineLevel="0" collapsed="false">
      <c r="A21" s="301"/>
      <c r="B21" s="301"/>
      <c r="C21" s="301"/>
      <c r="D21" s="301"/>
      <c r="E21" s="301"/>
      <c r="F21" s="302" t="s">
        <v>323</v>
      </c>
      <c r="G21" s="302" t="s">
        <v>324</v>
      </c>
      <c r="H21" s="301" t="s">
        <v>325</v>
      </c>
      <c r="I21" s="301"/>
      <c r="J21" s="301"/>
      <c r="K21" s="301"/>
      <c r="L21" s="301"/>
      <c r="M21" s="301"/>
      <c r="N21" s="301"/>
      <c r="O21" s="301"/>
      <c r="P21" s="301" t="s">
        <v>326</v>
      </c>
      <c r="Q21" s="301"/>
      <c r="R21" s="301"/>
      <c r="S21" s="301"/>
      <c r="T21" s="301"/>
      <c r="U21" s="302" t="s">
        <v>327</v>
      </c>
    </row>
    <row r="22" customFormat="false" ht="58.5" hidden="false" customHeight="true" outlineLevel="0" collapsed="false">
      <c r="A22" s="301"/>
      <c r="B22" s="301"/>
      <c r="C22" s="301"/>
      <c r="D22" s="301"/>
      <c r="E22" s="301"/>
      <c r="F22" s="302"/>
      <c r="G22" s="302"/>
      <c r="H22" s="302" t="s">
        <v>328</v>
      </c>
      <c r="I22" s="302" t="s">
        <v>329</v>
      </c>
      <c r="J22" s="302" t="s">
        <v>330</v>
      </c>
      <c r="K22" s="302" t="s">
        <v>331</v>
      </c>
      <c r="L22" s="302" t="s">
        <v>332</v>
      </c>
      <c r="M22" s="302" t="s">
        <v>333</v>
      </c>
      <c r="N22" s="302" t="s">
        <v>334</v>
      </c>
      <c r="O22" s="302" t="s">
        <v>335</v>
      </c>
      <c r="P22" s="302" t="s">
        <v>336</v>
      </c>
      <c r="Q22" s="302" t="s">
        <v>337</v>
      </c>
      <c r="R22" s="302" t="s">
        <v>338</v>
      </c>
      <c r="S22" s="302" t="s">
        <v>339</v>
      </c>
      <c r="T22" s="302" t="s">
        <v>340</v>
      </c>
      <c r="U22" s="302"/>
    </row>
    <row r="23" customFormat="false" ht="14.25" hidden="false" customHeight="false" outlineLevel="0" collapsed="false">
      <c r="A23" s="301"/>
      <c r="B23" s="301"/>
      <c r="C23" s="301"/>
      <c r="D23" s="301"/>
      <c r="E23" s="301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customFormat="false" ht="14.25" hidden="false" customHeight="false" outlineLevel="0" collapsed="false">
      <c r="A24" s="303" t="s">
        <v>341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</row>
    <row r="25" customFormat="false" ht="14.25" hidden="false" customHeight="false" outlineLevel="0" collapsed="false">
      <c r="A25" s="304" t="s">
        <v>342</v>
      </c>
      <c r="B25" s="304"/>
      <c r="C25" s="304"/>
      <c r="D25" s="304"/>
      <c r="E25" s="304"/>
      <c r="F25" s="305" t="n">
        <f aca="false">'Budynki komunalne'!E47</f>
        <v>298.01</v>
      </c>
      <c r="G25" s="293"/>
      <c r="H25" s="293" t="n">
        <f aca="false">'Budynki komunalne'!H47</f>
        <v>1654.3613847852</v>
      </c>
      <c r="I25" s="305" t="n">
        <f aca="false">'Budynki komunalne'!J47</f>
        <v>0</v>
      </c>
      <c r="J25" s="305" t="n">
        <f aca="false">'Budynki komunalne'!L47</f>
        <v>0</v>
      </c>
      <c r="K25" s="293"/>
      <c r="L25" s="293"/>
      <c r="M25" s="293"/>
      <c r="N25" s="305" t="n">
        <f aca="false">'Budynki komunalne'!F47</f>
        <v>0</v>
      </c>
      <c r="O25" s="293"/>
      <c r="P25" s="305" t="n">
        <f aca="false">'Budynki komunalne'!P47</f>
        <v>13.000104</v>
      </c>
      <c r="Q25" s="293"/>
      <c r="R25" s="293"/>
      <c r="S25" s="305" t="n">
        <f aca="false">'Budynki komunalne'!T47</f>
        <v>0</v>
      </c>
      <c r="T25" s="293"/>
      <c r="U25" s="305" t="n">
        <f aca="false">SUM(F25:T25)</f>
        <v>1965.3714887852</v>
      </c>
    </row>
    <row r="26" customFormat="false" ht="14.25" hidden="false" customHeight="false" outlineLevel="0" collapsed="false">
      <c r="A26" s="304" t="s">
        <v>343</v>
      </c>
      <c r="B26" s="304"/>
      <c r="C26" s="304"/>
      <c r="D26" s="304"/>
      <c r="E26" s="304"/>
      <c r="F26" s="305" t="n">
        <f aca="false">'Budynki usługowe'!Y49</f>
        <v>1316.88251748252</v>
      </c>
      <c r="G26" s="293"/>
      <c r="H26" s="305" t="n">
        <f aca="false">'Budynki usługowe'!N49</f>
        <v>738.306325278037</v>
      </c>
      <c r="I26" s="305" t="n">
        <f aca="false">'Budynki usługowe'!P49</f>
        <v>3.13092923076923</v>
      </c>
      <c r="J26" s="293" t="n">
        <f aca="false">'Budynki usługowe'!K49</f>
        <v>11.6390185728661</v>
      </c>
      <c r="K26" s="293"/>
      <c r="L26" s="293"/>
      <c r="M26" s="293"/>
      <c r="N26" s="305" t="n">
        <f aca="false">'Budynki usługowe'!H49</f>
        <v>637.149327923077</v>
      </c>
      <c r="O26" s="293"/>
      <c r="P26" s="305" t="n">
        <f aca="false">'Budynki usługowe'!S49</f>
        <v>1183.2261324</v>
      </c>
      <c r="Q26" s="293"/>
      <c r="R26" s="293"/>
      <c r="S26" s="305" t="n">
        <f aca="false">'Budynki usługowe'!U49</f>
        <v>0</v>
      </c>
      <c r="T26" s="293"/>
      <c r="U26" s="305" t="n">
        <f aca="false">SUM(F26:T26)</f>
        <v>3890.33425088727</v>
      </c>
    </row>
    <row r="27" customFormat="false" ht="14.25" hidden="false" customHeight="false" outlineLevel="0" collapsed="false">
      <c r="A27" s="304" t="s">
        <v>180</v>
      </c>
      <c r="B27" s="304"/>
      <c r="C27" s="304"/>
      <c r="D27" s="304"/>
      <c r="E27" s="304"/>
      <c r="F27" s="305" t="n">
        <f aca="false">'Budynki mieszkalne'!Z360</f>
        <v>7574.98113458393</v>
      </c>
      <c r="G27" s="293"/>
      <c r="H27" s="305" t="n">
        <f aca="false">'Budynki mieszkalne'!N360</f>
        <v>5639.63011668</v>
      </c>
      <c r="I27" s="305" t="n">
        <f aca="false">'Budynki mieszkalne'!P360</f>
        <v>458.678836215873</v>
      </c>
      <c r="J27" s="305" t="n">
        <f aca="false">'Budynki mieszkalne'!K360</f>
        <v>0</v>
      </c>
      <c r="K27" s="293"/>
      <c r="L27" s="293"/>
      <c r="M27" s="293"/>
      <c r="N27" s="293" t="n">
        <f aca="false">'Budynki mieszkalne'!H360</f>
        <v>24170.7762350333</v>
      </c>
      <c r="O27" s="293"/>
      <c r="P27" s="293" t="n">
        <f aca="false">'Budynki mieszkalne'!S360</f>
        <v>48736.4352481512</v>
      </c>
      <c r="Q27" s="293"/>
      <c r="R27" s="293"/>
      <c r="S27" s="305" t="n">
        <f aca="false">'Budynki mieszkalne'!U360</f>
        <v>174.946666666667</v>
      </c>
      <c r="T27" s="305" t="n">
        <f aca="false">'Budynki mieszkalne'!Y360</f>
        <v>0</v>
      </c>
      <c r="U27" s="305" t="n">
        <f aca="false">SUM(F27:T27)</f>
        <v>86755.4482373311</v>
      </c>
    </row>
    <row r="28" customFormat="false" ht="14.25" hidden="false" customHeight="false" outlineLevel="0" collapsed="false">
      <c r="A28" s="304" t="s">
        <v>344</v>
      </c>
      <c r="B28" s="304"/>
      <c r="C28" s="304"/>
      <c r="D28" s="304"/>
      <c r="E28" s="304"/>
      <c r="F28" s="305" t="n">
        <f aca="false">'oświetlenie uliczne'!C4</f>
        <v>378.98</v>
      </c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305" t="n">
        <f aca="false">SUM(F28:T28)</f>
        <v>378.98</v>
      </c>
    </row>
    <row r="29" customFormat="false" ht="14.25" hidden="false" customHeight="true" outlineLevel="0" collapsed="false">
      <c r="A29" s="306" t="s">
        <v>345</v>
      </c>
      <c r="B29" s="306"/>
      <c r="C29" s="306"/>
      <c r="D29" s="306"/>
      <c r="E29" s="306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 t="n">
        <f aca="false">SUM(F29:T29)</f>
        <v>0</v>
      </c>
    </row>
    <row r="30" customFormat="false" ht="14.25" hidden="false" customHeight="false" outlineLevel="0" collapsed="false">
      <c r="A30" s="306"/>
      <c r="B30" s="306"/>
      <c r="C30" s="306"/>
      <c r="D30" s="306"/>
      <c r="E30" s="306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 t="n">
        <f aca="false">SUM(F30:T30)</f>
        <v>0</v>
      </c>
    </row>
    <row r="31" customFormat="false" ht="14.25" hidden="false" customHeight="false" outlineLevel="0" collapsed="false">
      <c r="A31" s="307" t="s">
        <v>346</v>
      </c>
      <c r="B31" s="307"/>
      <c r="C31" s="307"/>
      <c r="D31" s="307"/>
      <c r="E31" s="307"/>
      <c r="F31" s="308" t="n">
        <f aca="false">SUM(F25:F30)</f>
        <v>9568.85365206645</v>
      </c>
      <c r="G31" s="309" t="n">
        <f aca="false">SUM(G25:G30)</f>
        <v>0</v>
      </c>
      <c r="H31" s="309" t="n">
        <f aca="false">SUM(H25:H30)</f>
        <v>8032.29782674324</v>
      </c>
      <c r="I31" s="308" t="n">
        <f aca="false">SUM(I25:I30)</f>
        <v>461.809765446642</v>
      </c>
      <c r="J31" s="308" t="n">
        <f aca="false">SUM(J25:J30)</f>
        <v>11.6390185728661</v>
      </c>
      <c r="K31" s="309" t="n">
        <f aca="false">SUM(K25:K30)</f>
        <v>0</v>
      </c>
      <c r="L31" s="309" t="n">
        <f aca="false">SUM(L25:L30)</f>
        <v>0</v>
      </c>
      <c r="M31" s="309" t="n">
        <f aca="false">SUM(M25:M30)</f>
        <v>0</v>
      </c>
      <c r="N31" s="308" t="n">
        <f aca="false">SUM(N25:N30)</f>
        <v>24807.9255629564</v>
      </c>
      <c r="O31" s="309" t="n">
        <f aca="false">SUM(O25:O30)</f>
        <v>0</v>
      </c>
      <c r="P31" s="308" t="n">
        <f aca="false">SUM(P25:P30)</f>
        <v>49932.6614845512</v>
      </c>
      <c r="Q31" s="309" t="n">
        <f aca="false">SUM(Q25:Q30)</f>
        <v>0</v>
      </c>
      <c r="R31" s="309" t="n">
        <f aca="false">SUM(R25:R30)</f>
        <v>0</v>
      </c>
      <c r="S31" s="308" t="n">
        <f aca="false">SUM(S25:S30)</f>
        <v>174.946666666667</v>
      </c>
      <c r="T31" s="309" t="n">
        <f aca="false">SUM(T25:T30)</f>
        <v>0</v>
      </c>
      <c r="U31" s="308" t="n">
        <f aca="false">SUM(U25:U30)</f>
        <v>92990.1339770035</v>
      </c>
    </row>
    <row r="32" customFormat="false" ht="14.25" hidden="false" customHeight="false" outlineLevel="0" collapsed="false">
      <c r="A32" s="310" t="s">
        <v>347</v>
      </c>
      <c r="B32" s="310"/>
      <c r="C32" s="310"/>
      <c r="D32" s="310"/>
      <c r="E32" s="310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</row>
    <row r="33" customFormat="false" ht="14.25" hidden="false" customHeight="false" outlineLevel="0" collapsed="false">
      <c r="A33" s="304" t="s">
        <v>284</v>
      </c>
      <c r="B33" s="304"/>
      <c r="C33" s="304"/>
      <c r="D33" s="304"/>
      <c r="E33" s="304"/>
      <c r="F33" s="293"/>
      <c r="G33" s="293"/>
      <c r="H33" s="293"/>
      <c r="I33" s="305" t="n">
        <f aca="false">Transport!E20</f>
        <v>0</v>
      </c>
      <c r="J33" s="293"/>
      <c r="K33" s="305" t="n">
        <f aca="false">Transport!D20</f>
        <v>105.1656</v>
      </c>
      <c r="L33" s="305" t="n">
        <f aca="false">Transport!C20</f>
        <v>8.23722</v>
      </c>
      <c r="M33" s="293"/>
      <c r="N33" s="293"/>
      <c r="O33" s="293"/>
      <c r="P33" s="293"/>
      <c r="Q33" s="305" t="n">
        <f aca="false">Transport!F20</f>
        <v>0</v>
      </c>
      <c r="R33" s="293"/>
      <c r="S33" s="293"/>
      <c r="T33" s="293"/>
      <c r="U33" s="305" t="n">
        <f aca="false">SUM(K33,L33)</f>
        <v>113.40282</v>
      </c>
    </row>
    <row r="34" customFormat="false" ht="14.25" hidden="false" customHeight="false" outlineLevel="0" collapsed="false">
      <c r="A34" s="304" t="s">
        <v>348</v>
      </c>
      <c r="B34" s="304"/>
      <c r="C34" s="304"/>
      <c r="D34" s="304"/>
      <c r="E34" s="304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</row>
    <row r="35" customFormat="false" ht="14.25" hidden="false" customHeight="false" outlineLevel="0" collapsed="false">
      <c r="A35" s="304" t="s">
        <v>349</v>
      </c>
      <c r="B35" s="304"/>
      <c r="C35" s="304"/>
      <c r="D35" s="304"/>
      <c r="E35" s="304"/>
      <c r="F35" s="293"/>
      <c r="G35" s="293"/>
      <c r="H35" s="293"/>
      <c r="I35" s="305" t="n">
        <f aca="false">Transport!E29</f>
        <v>3058.7973441221</v>
      </c>
      <c r="J35" s="305"/>
      <c r="K35" s="305" t="n">
        <f aca="false">Transport!D29</f>
        <v>5830.86293045912</v>
      </c>
      <c r="L35" s="305" t="n">
        <f aca="false">Transport!C29</f>
        <v>8105.77701655931</v>
      </c>
      <c r="M35" s="305"/>
      <c r="N35" s="305"/>
      <c r="O35" s="293"/>
      <c r="P35" s="293"/>
      <c r="Q35" s="305" t="n">
        <f aca="false">Transport!F29</f>
        <v>212.968330674847</v>
      </c>
      <c r="R35" s="293"/>
      <c r="S35" s="293"/>
      <c r="T35" s="293"/>
      <c r="U35" s="305" t="n">
        <f aca="false">SUM(I35,K35,L35,Q35)</f>
        <v>17208.4056218154</v>
      </c>
    </row>
    <row r="36" customFormat="false" ht="14.25" hidden="false" customHeight="false" outlineLevel="0" collapsed="false">
      <c r="A36" s="312" t="s">
        <v>350</v>
      </c>
      <c r="B36" s="312"/>
      <c r="C36" s="312"/>
      <c r="D36" s="312"/>
      <c r="E36" s="312"/>
      <c r="F36" s="309" t="n">
        <f aca="false">SUM(F33:F35)</f>
        <v>0</v>
      </c>
      <c r="G36" s="309" t="n">
        <f aca="false">SUM(G33:G35)</f>
        <v>0</v>
      </c>
      <c r="H36" s="309" t="n">
        <f aca="false">SUM(H33:H35)</f>
        <v>0</v>
      </c>
      <c r="I36" s="308" t="n">
        <f aca="false">SUM(I33:I35)</f>
        <v>3058.7973441221</v>
      </c>
      <c r="J36" s="309" t="n">
        <f aca="false">SUM(J33:J35)</f>
        <v>0</v>
      </c>
      <c r="K36" s="308" t="n">
        <f aca="false">SUM(K33:K35)</f>
        <v>5936.02853045912</v>
      </c>
      <c r="L36" s="308" t="n">
        <f aca="false">SUM(L33:L35)</f>
        <v>8114.01423655931</v>
      </c>
      <c r="M36" s="309" t="n">
        <f aca="false">SUM(M33:M35)</f>
        <v>0</v>
      </c>
      <c r="N36" s="309" t="n">
        <f aca="false">SUM(N33:N35)</f>
        <v>0</v>
      </c>
      <c r="O36" s="309" t="n">
        <f aca="false">SUM(O33:O35)</f>
        <v>0</v>
      </c>
      <c r="P36" s="309" t="n">
        <f aca="false">SUM(P33:P35)</f>
        <v>0</v>
      </c>
      <c r="Q36" s="308" t="n">
        <f aca="false">SUM(Q33:Q35)</f>
        <v>212.968330674847</v>
      </c>
      <c r="R36" s="309" t="n">
        <f aca="false">SUM(R33:R35)</f>
        <v>0</v>
      </c>
      <c r="S36" s="309" t="n">
        <f aca="false">SUM(S33:S35)</f>
        <v>0</v>
      </c>
      <c r="T36" s="309" t="n">
        <f aca="false">SUM(T33:T35)</f>
        <v>0</v>
      </c>
      <c r="U36" s="308" t="n">
        <f aca="false">SUM(U33:U35)</f>
        <v>17321.8084418154</v>
      </c>
    </row>
    <row r="37" customFormat="false" ht="14.25" hidden="false" customHeight="false" outlineLevel="0" collapsed="false">
      <c r="A37" s="312" t="s">
        <v>327</v>
      </c>
      <c r="B37" s="312"/>
      <c r="C37" s="312"/>
      <c r="D37" s="312"/>
      <c r="E37" s="312"/>
      <c r="F37" s="308" t="n">
        <f aca="false">F31+F36</f>
        <v>9568.85365206645</v>
      </c>
      <c r="G37" s="309" t="n">
        <f aca="false">G31+G36</f>
        <v>0</v>
      </c>
      <c r="H37" s="309" t="n">
        <f aca="false">H31+H36</f>
        <v>8032.29782674324</v>
      </c>
      <c r="I37" s="308" t="n">
        <f aca="false">I31+I36</f>
        <v>3520.60710956874</v>
      </c>
      <c r="J37" s="308" t="n">
        <f aca="false">J31+J36</f>
        <v>11.6390185728661</v>
      </c>
      <c r="K37" s="308" t="n">
        <f aca="false">K31+K36</f>
        <v>5936.02853045912</v>
      </c>
      <c r="L37" s="308" t="n">
        <f aca="false">L31+L36</f>
        <v>8114.01423655931</v>
      </c>
      <c r="M37" s="309" t="n">
        <f aca="false">M31+M36</f>
        <v>0</v>
      </c>
      <c r="N37" s="308" t="n">
        <f aca="false">N31+N36</f>
        <v>24807.9255629564</v>
      </c>
      <c r="O37" s="309" t="n">
        <f aca="false">O31+O36</f>
        <v>0</v>
      </c>
      <c r="P37" s="308" t="n">
        <f aca="false">P31+P36</f>
        <v>49932.6614845512</v>
      </c>
      <c r="Q37" s="308" t="n">
        <f aca="false">Q31+Q36</f>
        <v>212.968330674847</v>
      </c>
      <c r="R37" s="309" t="n">
        <f aca="false">R31+R36</f>
        <v>0</v>
      </c>
      <c r="S37" s="309" t="n">
        <f aca="false">S31+S36</f>
        <v>174.946666666667</v>
      </c>
      <c r="T37" s="309" t="n">
        <f aca="false">T31+T36</f>
        <v>0</v>
      </c>
      <c r="U37" s="308" t="n">
        <f aca="false">U31+U36</f>
        <v>110311.942418819</v>
      </c>
    </row>
    <row r="39" customFormat="false" ht="15.75" hidden="false" customHeight="false" outlineLevel="0" collapsed="false">
      <c r="A39" s="304" t="s">
        <v>351</v>
      </c>
      <c r="B39" s="304"/>
      <c r="C39" s="304"/>
      <c r="D39" s="304"/>
      <c r="E39" s="304"/>
      <c r="F39" s="293"/>
    </row>
    <row r="40" customFormat="false" ht="27" hidden="false" customHeight="true" outlineLevel="0" collapsed="false">
      <c r="A40" s="313" t="s">
        <v>352</v>
      </c>
      <c r="B40" s="313"/>
      <c r="C40" s="313"/>
      <c r="D40" s="313"/>
      <c r="E40" s="313"/>
      <c r="F40" s="293"/>
    </row>
    <row r="42" customFormat="false" ht="16.5" hidden="false" customHeight="false" outlineLevel="0" collapsed="false">
      <c r="A42" s="285" t="s">
        <v>353</v>
      </c>
      <c r="B42" s="285"/>
      <c r="C42" s="285"/>
      <c r="D42" s="285"/>
    </row>
    <row r="43" customFormat="false" ht="14.25" hidden="false" customHeight="false" outlineLevel="0" collapsed="false">
      <c r="A43" s="314" t="s">
        <v>320</v>
      </c>
      <c r="B43" s="314"/>
      <c r="C43" s="314"/>
      <c r="D43" s="314"/>
      <c r="E43" s="314"/>
      <c r="F43" s="314"/>
      <c r="G43" s="314"/>
      <c r="H43" s="314"/>
    </row>
    <row r="45" customFormat="false" ht="15" hidden="false" customHeight="false" outlineLevel="0" collapsed="false">
      <c r="A45" s="301" t="s">
        <v>321</v>
      </c>
      <c r="B45" s="301"/>
      <c r="C45" s="301"/>
      <c r="D45" s="301"/>
      <c r="E45" s="301"/>
      <c r="F45" s="301" t="s">
        <v>354</v>
      </c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</row>
    <row r="46" customFormat="false" ht="15" hidden="false" customHeight="true" outlineLevel="0" collapsed="false">
      <c r="A46" s="301"/>
      <c r="B46" s="301"/>
      <c r="C46" s="301"/>
      <c r="D46" s="301"/>
      <c r="E46" s="301"/>
      <c r="F46" s="302" t="s">
        <v>323</v>
      </c>
      <c r="G46" s="302" t="s">
        <v>324</v>
      </c>
      <c r="H46" s="301" t="s">
        <v>325</v>
      </c>
      <c r="I46" s="301"/>
      <c r="J46" s="301"/>
      <c r="K46" s="301"/>
      <c r="L46" s="301"/>
      <c r="M46" s="301"/>
      <c r="N46" s="301"/>
      <c r="O46" s="301"/>
      <c r="P46" s="301" t="s">
        <v>326</v>
      </c>
      <c r="Q46" s="301"/>
      <c r="R46" s="301"/>
      <c r="S46" s="301"/>
      <c r="T46" s="301"/>
      <c r="U46" s="302" t="s">
        <v>327</v>
      </c>
    </row>
    <row r="47" customFormat="false" ht="14.25" hidden="false" customHeight="true" outlineLevel="0" collapsed="false">
      <c r="A47" s="301"/>
      <c r="B47" s="301"/>
      <c r="C47" s="301"/>
      <c r="D47" s="301"/>
      <c r="E47" s="301"/>
      <c r="F47" s="302"/>
      <c r="G47" s="302"/>
      <c r="H47" s="302" t="s">
        <v>328</v>
      </c>
      <c r="I47" s="302" t="s">
        <v>329</v>
      </c>
      <c r="J47" s="302" t="s">
        <v>330</v>
      </c>
      <c r="K47" s="302" t="s">
        <v>331</v>
      </c>
      <c r="L47" s="302" t="s">
        <v>332</v>
      </c>
      <c r="M47" s="302" t="s">
        <v>333</v>
      </c>
      <c r="N47" s="302" t="s">
        <v>334</v>
      </c>
      <c r="O47" s="302" t="s">
        <v>335</v>
      </c>
      <c r="P47" s="302" t="s">
        <v>336</v>
      </c>
      <c r="Q47" s="302" t="s">
        <v>355</v>
      </c>
      <c r="R47" s="302" t="s">
        <v>338</v>
      </c>
      <c r="S47" s="302" t="s">
        <v>339</v>
      </c>
      <c r="T47" s="302" t="s">
        <v>340</v>
      </c>
      <c r="U47" s="302"/>
    </row>
    <row r="48" customFormat="false" ht="57.75" hidden="false" customHeight="true" outlineLevel="0" collapsed="false">
      <c r="A48" s="301"/>
      <c r="B48" s="301"/>
      <c r="C48" s="301"/>
      <c r="D48" s="301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customFormat="false" ht="14.25" hidden="false" customHeight="false" outlineLevel="0" collapsed="false">
      <c r="A49" s="303" t="s">
        <v>341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</row>
    <row r="50" customFormat="false" ht="14.25" hidden="false" customHeight="false" outlineLevel="0" collapsed="false">
      <c r="A50" s="304" t="s">
        <v>342</v>
      </c>
      <c r="B50" s="304"/>
      <c r="C50" s="304"/>
      <c r="D50" s="304"/>
      <c r="E50" s="304"/>
      <c r="F50" s="305" t="n">
        <f aca="false">'Budynki komunalne'!E41</f>
        <v>241.98412</v>
      </c>
      <c r="G50" s="293"/>
      <c r="H50" s="305" t="n">
        <f aca="false">'Budynki komunalne'!H41</f>
        <v>332.526638341825</v>
      </c>
      <c r="I50" s="305" t="n">
        <f aca="false">'Budynki komunalne'!J41</f>
        <v>0</v>
      </c>
      <c r="J50" s="305" t="n">
        <f aca="false">'Budynki komunalne'!L41</f>
        <v>0</v>
      </c>
      <c r="K50" s="293"/>
      <c r="L50" s="293"/>
      <c r="M50" s="293"/>
      <c r="N50" s="305" t="n">
        <f aca="false">'Budynki komunalne'!F41</f>
        <v>0</v>
      </c>
      <c r="O50" s="293"/>
      <c r="P50" s="293" t="n">
        <f aca="false">'Budynki komunalne'!P41</f>
        <v>0</v>
      </c>
      <c r="Q50" s="293"/>
      <c r="R50" s="293"/>
      <c r="S50" s="293" t="n">
        <f aca="false">'Budynki komunalne'!T41</f>
        <v>0</v>
      </c>
      <c r="T50" s="293"/>
      <c r="U50" s="305" t="n">
        <f aca="false">SUM(F50:T50)</f>
        <v>574.510758341825</v>
      </c>
    </row>
    <row r="51" customFormat="false" ht="14.25" hidden="false" customHeight="false" outlineLevel="0" collapsed="false">
      <c r="A51" s="304" t="s">
        <v>343</v>
      </c>
      <c r="B51" s="304"/>
      <c r="C51" s="304"/>
      <c r="D51" s="304"/>
      <c r="E51" s="304"/>
      <c r="F51" s="305" t="n">
        <f aca="false">'Budynki usługowe'!Y43</f>
        <v>1069.3086041958</v>
      </c>
      <c r="G51" s="293"/>
      <c r="H51" s="305" t="n">
        <f aca="false">'Budynki usługowe'!N43</f>
        <v>148.399571380885</v>
      </c>
      <c r="I51" s="305" t="n">
        <f aca="false">'Budynki usługowe'!P43</f>
        <v>0.704459076923077</v>
      </c>
      <c r="J51" s="293" t="n">
        <f aca="false">'Budynki usługowe'!K43</f>
        <v>3.21236912611104</v>
      </c>
      <c r="K51" s="293"/>
      <c r="L51" s="293"/>
      <c r="M51" s="293"/>
      <c r="N51" s="305" t="n">
        <f aca="false">'Budynki usługowe'!H43</f>
        <v>212.807875526308</v>
      </c>
      <c r="O51" s="293"/>
      <c r="P51" s="293" t="n">
        <f aca="false">'Budynki usługowe'!S43</f>
        <v>0</v>
      </c>
      <c r="Q51" s="293"/>
      <c r="R51" s="293"/>
      <c r="S51" s="293" t="n">
        <f aca="false">'Budynki usługowe'!U43</f>
        <v>0</v>
      </c>
      <c r="T51" s="293"/>
      <c r="U51" s="305" t="n">
        <f aca="false">SUM(F51:T51)</f>
        <v>1434.43287930603</v>
      </c>
    </row>
    <row r="52" customFormat="false" ht="14.25" hidden="false" customHeight="false" outlineLevel="0" collapsed="false">
      <c r="A52" s="304" t="s">
        <v>180</v>
      </c>
      <c r="B52" s="304"/>
      <c r="C52" s="304"/>
      <c r="D52" s="304"/>
      <c r="E52" s="304"/>
      <c r="F52" s="305" t="n">
        <f aca="false">'Budynki mieszkalne'!Z354</f>
        <v>6150.88468128216</v>
      </c>
      <c r="G52" s="293"/>
      <c r="H52" s="305" t="n">
        <f aca="false">'Budynki mieszkalne'!N354</f>
        <v>1133.56565345268</v>
      </c>
      <c r="I52" s="305" t="n">
        <f aca="false">'Budynki mieszkalne'!P354</f>
        <v>103.202738148571</v>
      </c>
      <c r="J52" s="305" t="n">
        <f aca="false">'Budynki mieszkalne'!K354</f>
        <v>0</v>
      </c>
      <c r="K52" s="293"/>
      <c r="L52" s="293"/>
      <c r="M52" s="293"/>
      <c r="N52" s="305" t="n">
        <f aca="false">'Budynki mieszkalne'!H354</f>
        <v>8073.03926250113</v>
      </c>
      <c r="O52" s="293"/>
      <c r="P52" s="293" t="n">
        <f aca="false">'Budynki mieszkalne'!S354</f>
        <v>0</v>
      </c>
      <c r="Q52" s="293"/>
      <c r="R52" s="293"/>
      <c r="S52" s="293" t="n">
        <f aca="false">'Budynki mieszkalne'!U354</f>
        <v>0</v>
      </c>
      <c r="T52" s="293"/>
      <c r="U52" s="305" t="n">
        <f aca="false">SUM(F52:T52)</f>
        <v>15460.6923353845</v>
      </c>
    </row>
    <row r="53" customFormat="false" ht="14.25" hidden="false" customHeight="false" outlineLevel="0" collapsed="false">
      <c r="A53" s="304" t="s">
        <v>344</v>
      </c>
      <c r="B53" s="304"/>
      <c r="C53" s="304"/>
      <c r="D53" s="304"/>
      <c r="E53" s="304"/>
      <c r="F53" s="305" t="n">
        <f aca="false">'oświetlenie uliczne'!E4</f>
        <v>307.73176</v>
      </c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305" t="n">
        <f aca="false">SUM(F53:T53)</f>
        <v>307.73176</v>
      </c>
    </row>
    <row r="54" customFormat="false" ht="14.25" hidden="false" customHeight="true" outlineLevel="0" collapsed="false">
      <c r="A54" s="306" t="s">
        <v>345</v>
      </c>
      <c r="B54" s="306"/>
      <c r="C54" s="306"/>
      <c r="D54" s="306"/>
      <c r="E54" s="306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 t="n">
        <f aca="false">SUM(F54:T54)</f>
        <v>0</v>
      </c>
    </row>
    <row r="55" customFormat="false" ht="14.25" hidden="false" customHeight="false" outlineLevel="0" collapsed="false">
      <c r="A55" s="306"/>
      <c r="B55" s="306"/>
      <c r="C55" s="306"/>
      <c r="D55" s="306"/>
      <c r="E55" s="306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 t="n">
        <f aca="false">SUM(F55:T55)</f>
        <v>0</v>
      </c>
    </row>
    <row r="56" customFormat="false" ht="14.25" hidden="false" customHeight="false" outlineLevel="0" collapsed="false">
      <c r="A56" s="307" t="s">
        <v>346</v>
      </c>
      <c r="B56" s="307"/>
      <c r="C56" s="307"/>
      <c r="D56" s="307"/>
      <c r="E56" s="307"/>
      <c r="F56" s="308" t="n">
        <f aca="false">SUM(F50:F55)</f>
        <v>7769.90916547796</v>
      </c>
      <c r="G56" s="309" t="n">
        <f aca="false">SUM(G50:G55)</f>
        <v>0</v>
      </c>
      <c r="H56" s="308" t="n">
        <f aca="false">SUM(H50:H55)</f>
        <v>1614.49186317539</v>
      </c>
      <c r="I56" s="308" t="n">
        <f aca="false">SUM(I50:I55)</f>
        <v>103.907197225494</v>
      </c>
      <c r="J56" s="308" t="n">
        <f aca="false">SUM(J50:J55)</f>
        <v>3.21236912611104</v>
      </c>
      <c r="K56" s="309" t="n">
        <f aca="false">SUM(K50:K55)</f>
        <v>0</v>
      </c>
      <c r="L56" s="309" t="n">
        <f aca="false">SUM(L50:L55)</f>
        <v>0</v>
      </c>
      <c r="M56" s="309" t="n">
        <f aca="false">SUM(M50:M55)</f>
        <v>0</v>
      </c>
      <c r="N56" s="308" t="n">
        <f aca="false">SUM(N50:N55)</f>
        <v>8285.84713802744</v>
      </c>
      <c r="O56" s="309" t="n">
        <f aca="false">SUM(O50:O55)</f>
        <v>0</v>
      </c>
      <c r="P56" s="309" t="n">
        <f aca="false">SUM(P50:P55)</f>
        <v>0</v>
      </c>
      <c r="Q56" s="309" t="n">
        <f aca="false">SUM(Q50:Q55)</f>
        <v>0</v>
      </c>
      <c r="R56" s="309" t="n">
        <f aca="false">SUM(R50:R55)</f>
        <v>0</v>
      </c>
      <c r="S56" s="309" t="n">
        <f aca="false">SUM(S50:S55)</f>
        <v>0</v>
      </c>
      <c r="T56" s="309" t="n">
        <f aca="false">SUM(T50:T55)</f>
        <v>0</v>
      </c>
      <c r="U56" s="308" t="n">
        <f aca="false">SUM(U50:U55)</f>
        <v>17777.3677330324</v>
      </c>
    </row>
    <row r="57" customFormat="false" ht="14.25" hidden="false" customHeight="false" outlineLevel="0" collapsed="false">
      <c r="A57" s="310" t="s">
        <v>347</v>
      </c>
      <c r="B57" s="310"/>
      <c r="C57" s="310"/>
      <c r="D57" s="310"/>
      <c r="E57" s="310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</row>
    <row r="58" customFormat="false" ht="14.25" hidden="false" customHeight="false" outlineLevel="0" collapsed="false">
      <c r="A58" s="304" t="s">
        <v>284</v>
      </c>
      <c r="B58" s="304"/>
      <c r="C58" s="304"/>
      <c r="D58" s="304"/>
      <c r="E58" s="304"/>
      <c r="F58" s="293"/>
      <c r="G58" s="293"/>
      <c r="H58" s="293"/>
      <c r="I58" s="305" t="n">
        <f aca="false">Transport!E21</f>
        <v>0</v>
      </c>
      <c r="J58" s="293"/>
      <c r="K58" s="305" t="n">
        <f aca="false">Transport!D21</f>
        <v>27.7637184</v>
      </c>
      <c r="L58" s="305" t="n">
        <f aca="false">Transport!C21</f>
        <v>2.03459334</v>
      </c>
      <c r="M58" s="293"/>
      <c r="N58" s="293"/>
      <c r="O58" s="293"/>
      <c r="P58" s="305"/>
      <c r="Q58" s="305" t="n">
        <f aca="false">Transport!F21</f>
        <v>0</v>
      </c>
      <c r="R58" s="293"/>
      <c r="S58" s="293"/>
      <c r="T58" s="293"/>
      <c r="U58" s="305" t="n">
        <f aca="false">SUM(F58:T58)</f>
        <v>29.79831174</v>
      </c>
    </row>
    <row r="59" customFormat="false" ht="14.25" hidden="false" customHeight="false" outlineLevel="0" collapsed="false">
      <c r="A59" s="304" t="s">
        <v>348</v>
      </c>
      <c r="B59" s="304"/>
      <c r="C59" s="304"/>
      <c r="D59" s="304"/>
      <c r="E59" s="304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 t="n">
        <f aca="false">SUM(F59:T59)</f>
        <v>0</v>
      </c>
    </row>
    <row r="60" customFormat="false" ht="14.25" hidden="false" customHeight="false" outlineLevel="0" collapsed="false">
      <c r="A60" s="304" t="s">
        <v>349</v>
      </c>
      <c r="B60" s="304"/>
      <c r="C60" s="304"/>
      <c r="D60" s="304"/>
      <c r="E60" s="304"/>
      <c r="F60" s="293"/>
      <c r="G60" s="293"/>
      <c r="H60" s="293"/>
      <c r="I60" s="305" t="n">
        <f aca="false">Transport!E30</f>
        <v>688.229402427472</v>
      </c>
      <c r="J60" s="293"/>
      <c r="K60" s="305" t="n">
        <f aca="false">Transport!D30</f>
        <v>1539.34781364121</v>
      </c>
      <c r="L60" s="305" t="n">
        <f aca="false">Transport!C30</f>
        <v>2002.12692309015</v>
      </c>
      <c r="M60" s="293"/>
      <c r="N60" s="293"/>
      <c r="O60" s="293"/>
      <c r="P60" s="293"/>
      <c r="Q60" s="293" t="n">
        <f aca="false">Transport!F30</f>
        <v>0</v>
      </c>
      <c r="R60" s="293"/>
      <c r="S60" s="293"/>
      <c r="T60" s="293"/>
      <c r="U60" s="305" t="n">
        <f aca="false">SUM(F60:T60)</f>
        <v>4229.70413915883</v>
      </c>
    </row>
    <row r="61" customFormat="false" ht="14.25" hidden="false" customHeight="false" outlineLevel="0" collapsed="false">
      <c r="A61" s="312" t="s">
        <v>350</v>
      </c>
      <c r="B61" s="312"/>
      <c r="C61" s="312"/>
      <c r="D61" s="312"/>
      <c r="E61" s="312"/>
      <c r="F61" s="309" t="n">
        <f aca="false">SUM(F58:F60)</f>
        <v>0</v>
      </c>
      <c r="G61" s="309" t="n">
        <f aca="false">SUM(G58:G60)</f>
        <v>0</v>
      </c>
      <c r="H61" s="309" t="n">
        <f aca="false">SUM(H58:H60)</f>
        <v>0</v>
      </c>
      <c r="I61" s="308" t="n">
        <f aca="false">SUM(I58:I60)</f>
        <v>688.229402427472</v>
      </c>
      <c r="J61" s="309" t="n">
        <f aca="false">SUM(J58:J60)</f>
        <v>0</v>
      </c>
      <c r="K61" s="308" t="n">
        <f aca="false">SUM(K58:K60)</f>
        <v>1567.11153204121</v>
      </c>
      <c r="L61" s="308" t="n">
        <f aca="false">SUM(L58:L60)</f>
        <v>2004.16151643015</v>
      </c>
      <c r="M61" s="309" t="n">
        <f aca="false">SUM(M58:M60)</f>
        <v>0</v>
      </c>
      <c r="N61" s="309" t="n">
        <f aca="false">SUM(N58:N60)</f>
        <v>0</v>
      </c>
      <c r="O61" s="309" t="n">
        <f aca="false">SUM(O58:O60)</f>
        <v>0</v>
      </c>
      <c r="P61" s="308" t="n">
        <f aca="false">SUM(P58:P60)</f>
        <v>0</v>
      </c>
      <c r="Q61" s="308" t="n">
        <f aca="false">SUM(Q58:Q60)</f>
        <v>0</v>
      </c>
      <c r="R61" s="309" t="n">
        <f aca="false">SUM(R58:R60)</f>
        <v>0</v>
      </c>
      <c r="S61" s="309" t="n">
        <f aca="false">SUM(S58:S60)</f>
        <v>0</v>
      </c>
      <c r="T61" s="309" t="n">
        <f aca="false">SUM(T58:T60)</f>
        <v>0</v>
      </c>
      <c r="U61" s="308" t="n">
        <f aca="false">SUM(U58:U60)</f>
        <v>4259.50245089883</v>
      </c>
    </row>
    <row r="62" customFormat="false" ht="14.25" hidden="false" customHeight="false" outlineLevel="0" collapsed="false">
      <c r="A62" s="310" t="s">
        <v>356</v>
      </c>
      <c r="B62" s="310"/>
      <c r="C62" s="310"/>
      <c r="D62" s="310"/>
      <c r="E62" s="310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</row>
    <row r="63" customFormat="false" ht="14.25" hidden="false" customHeight="false" outlineLevel="0" collapsed="false">
      <c r="A63" s="304" t="s">
        <v>357</v>
      </c>
      <c r="B63" s="304"/>
      <c r="C63" s="304"/>
      <c r="D63" s="304"/>
      <c r="E63" s="304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293"/>
    </row>
    <row r="64" customFormat="false" ht="14.25" hidden="false" customHeight="false" outlineLevel="0" collapsed="false">
      <c r="A64" s="304" t="s">
        <v>358</v>
      </c>
      <c r="B64" s="304"/>
      <c r="C64" s="304"/>
      <c r="D64" s="304"/>
      <c r="E64" s="304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293"/>
    </row>
    <row r="65" customFormat="false" ht="14.25" hidden="false" customHeight="false" outlineLevel="0" collapsed="false">
      <c r="A65" s="316" t="s">
        <v>359</v>
      </c>
      <c r="B65" s="316"/>
      <c r="C65" s="316"/>
      <c r="D65" s="316"/>
      <c r="E65" s="316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7"/>
    </row>
    <row r="66" customFormat="false" ht="15" hidden="false" customHeight="false" outlineLevel="0" collapsed="false">
      <c r="A66" s="318" t="s">
        <v>327</v>
      </c>
      <c r="B66" s="318"/>
      <c r="C66" s="318"/>
      <c r="D66" s="318"/>
      <c r="E66" s="318"/>
      <c r="F66" s="308" t="n">
        <f aca="false">SUM(F56+F61)</f>
        <v>7769.90916547796</v>
      </c>
      <c r="G66" s="308" t="n">
        <f aca="false">SUM(G56+G61)</f>
        <v>0</v>
      </c>
      <c r="H66" s="308" t="n">
        <f aca="false">SUM(H56+H61)</f>
        <v>1614.49186317539</v>
      </c>
      <c r="I66" s="308" t="n">
        <f aca="false">SUM(I56+I61)</f>
        <v>792.136599652966</v>
      </c>
      <c r="J66" s="308" t="n">
        <f aca="false">SUM(J56+J61)</f>
        <v>3.21236912611104</v>
      </c>
      <c r="K66" s="308" t="n">
        <f aca="false">SUM(K56+K61)</f>
        <v>1567.11153204121</v>
      </c>
      <c r="L66" s="308" t="n">
        <f aca="false">SUM(L56+L61)</f>
        <v>2004.16151643015</v>
      </c>
      <c r="M66" s="308" t="n">
        <f aca="false">SUM(M56+M61)</f>
        <v>0</v>
      </c>
      <c r="N66" s="308" t="n">
        <f aca="false">SUM(N56+N61)</f>
        <v>8285.84713802744</v>
      </c>
      <c r="O66" s="308" t="n">
        <f aca="false">SUM(O56+O61)</f>
        <v>0</v>
      </c>
      <c r="P66" s="308" t="n">
        <f aca="false">SUM(P56+P61)</f>
        <v>0</v>
      </c>
      <c r="Q66" s="308" t="n">
        <f aca="false">SUM(Q56+Q61)</f>
        <v>0</v>
      </c>
      <c r="R66" s="308" t="n">
        <f aca="false">SUM(R56+R61)</f>
        <v>0</v>
      </c>
      <c r="S66" s="308" t="n">
        <f aca="false">SUM(S56+S61)</f>
        <v>0</v>
      </c>
      <c r="T66" s="308" t="n">
        <f aca="false">SUM(T56+T61)</f>
        <v>0</v>
      </c>
      <c r="U66" s="308" t="n">
        <f aca="false">SUM(U56+U61)</f>
        <v>22036.8701839312</v>
      </c>
    </row>
    <row r="68" customFormat="false" ht="16.5" hidden="false" customHeight="false" outlineLevel="0" collapsed="false">
      <c r="A68" s="319" t="s">
        <v>351</v>
      </c>
      <c r="B68" s="319"/>
      <c r="C68" s="319"/>
      <c r="D68" s="319"/>
      <c r="E68" s="319"/>
      <c r="F68" s="320" t="n">
        <f aca="false">'Budynki komunalne'!E42</f>
        <v>0.812</v>
      </c>
      <c r="G68" s="321"/>
      <c r="H68" s="321" t="n">
        <f aca="false">'Budynki komunalne'!H42</f>
        <v>0.201</v>
      </c>
      <c r="I68" s="321" t="n">
        <f aca="false">'Budynki komunalne'!J42</f>
        <v>0.225</v>
      </c>
      <c r="J68" s="321" t="n">
        <f aca="false">'Budynki komunalne'!L42</f>
        <v>0.276</v>
      </c>
      <c r="K68" s="321" t="n">
        <f aca="false">'Budynki usługowe'!AI44</f>
        <v>0.264</v>
      </c>
      <c r="L68" s="321" t="n">
        <f aca="false">'Budynki usługowe'!AC44</f>
        <v>0.247</v>
      </c>
      <c r="M68" s="321"/>
      <c r="N68" s="321" t="n">
        <f aca="false">'Budynki usługowe'!H44</f>
        <v>0.334</v>
      </c>
      <c r="O68" s="321"/>
      <c r="P68" s="321" t="n">
        <f aca="false">'Budynki usługowe'!S44</f>
        <v>0</v>
      </c>
      <c r="Q68" s="321" t="n">
        <f aca="false">'Budynki usługowe'!AK44</f>
        <v>0</v>
      </c>
      <c r="R68" s="321" t="n">
        <v>0</v>
      </c>
      <c r="S68" s="321" t="n">
        <f aca="false">'Budynki usługowe'!U44</f>
        <v>0</v>
      </c>
      <c r="T68" s="321" t="n">
        <v>0</v>
      </c>
    </row>
    <row r="69" customFormat="false" ht="14.25" hidden="false" customHeight="true" outlineLevel="0" collapsed="false">
      <c r="A69" s="322" t="s">
        <v>360</v>
      </c>
      <c r="B69" s="322"/>
      <c r="C69" s="322"/>
      <c r="D69" s="322"/>
      <c r="E69" s="322"/>
      <c r="F69" s="323"/>
    </row>
    <row r="70" customFormat="false" ht="15" hidden="false" customHeight="false" outlineLevel="0" collapsed="false">
      <c r="A70" s="322"/>
      <c r="B70" s="322"/>
      <c r="C70" s="322"/>
      <c r="D70" s="322"/>
      <c r="E70" s="322"/>
      <c r="F70" s="323"/>
    </row>
    <row r="72" customFormat="false" ht="16.5" hidden="false" customHeight="false" outlineLevel="0" collapsed="false">
      <c r="A72" s="285" t="s">
        <v>361</v>
      </c>
      <c r="B72" s="285"/>
      <c r="C72" s="285"/>
      <c r="D72" s="285"/>
      <c r="E72" s="285"/>
      <c r="F72" s="285"/>
      <c r="G72" s="285"/>
      <c r="H72" s="285"/>
    </row>
    <row r="73" customFormat="false" ht="14.25" hidden="false" customHeight="false" outlineLevel="0" collapsed="false">
      <c r="A73" s="300" t="s">
        <v>320</v>
      </c>
      <c r="B73" s="300"/>
      <c r="C73" s="300"/>
      <c r="D73" s="300"/>
      <c r="E73" s="300"/>
      <c r="F73" s="300"/>
      <c r="G73" s="300"/>
      <c r="H73" s="300"/>
      <c r="I73" s="300"/>
    </row>
    <row r="75" customFormat="false" ht="14.25" hidden="false" customHeight="true" outlineLevel="0" collapsed="false">
      <c r="A75" s="324" t="s">
        <v>362</v>
      </c>
      <c r="B75" s="324"/>
      <c r="C75" s="324"/>
      <c r="D75" s="324"/>
      <c r="E75" s="324"/>
      <c r="F75" s="324" t="s">
        <v>363</v>
      </c>
      <c r="G75" s="324"/>
      <c r="H75" s="325" t="s">
        <v>364</v>
      </c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6" t="s">
        <v>365</v>
      </c>
      <c r="T75" s="326" t="s">
        <v>366</v>
      </c>
      <c r="U75" s="326"/>
    </row>
    <row r="76" customFormat="false" ht="14.25" hidden="false" customHeight="true" outlineLevel="0" collapsed="false">
      <c r="A76" s="324"/>
      <c r="B76" s="324"/>
      <c r="C76" s="324"/>
      <c r="D76" s="324"/>
      <c r="E76" s="324"/>
      <c r="F76" s="324"/>
      <c r="G76" s="324"/>
      <c r="H76" s="325" t="s">
        <v>325</v>
      </c>
      <c r="I76" s="325"/>
      <c r="J76" s="325"/>
      <c r="K76" s="325"/>
      <c r="L76" s="325"/>
      <c r="M76" s="327" t="s">
        <v>367</v>
      </c>
      <c r="N76" s="327" t="s">
        <v>368</v>
      </c>
      <c r="O76" s="326" t="s">
        <v>355</v>
      </c>
      <c r="P76" s="326" t="s">
        <v>338</v>
      </c>
      <c r="Q76" s="326" t="s">
        <v>369</v>
      </c>
      <c r="R76" s="328" t="s">
        <v>370</v>
      </c>
      <c r="S76" s="326"/>
      <c r="T76" s="326"/>
      <c r="U76" s="326"/>
    </row>
    <row r="77" customFormat="false" ht="14.25" hidden="false" customHeight="true" outlineLevel="0" collapsed="false">
      <c r="A77" s="324"/>
      <c r="B77" s="324"/>
      <c r="C77" s="324"/>
      <c r="D77" s="324"/>
      <c r="E77" s="324"/>
      <c r="F77" s="324"/>
      <c r="G77" s="324"/>
      <c r="H77" s="326" t="s">
        <v>328</v>
      </c>
      <c r="I77" s="326" t="s">
        <v>329</v>
      </c>
      <c r="J77" s="326" t="s">
        <v>330</v>
      </c>
      <c r="K77" s="326" t="s">
        <v>333</v>
      </c>
      <c r="L77" s="326" t="s">
        <v>334</v>
      </c>
      <c r="M77" s="327"/>
      <c r="N77" s="327"/>
      <c r="O77" s="326"/>
      <c r="P77" s="326"/>
      <c r="Q77" s="326"/>
      <c r="R77" s="328"/>
      <c r="S77" s="326"/>
      <c r="T77" s="326"/>
      <c r="U77" s="326"/>
    </row>
    <row r="78" customFormat="false" ht="14.25" hidden="false" customHeight="false" outlineLevel="0" collapsed="false">
      <c r="A78" s="324"/>
      <c r="B78" s="324"/>
      <c r="C78" s="324"/>
      <c r="D78" s="324"/>
      <c r="E78" s="324"/>
      <c r="F78" s="324"/>
      <c r="G78" s="324"/>
      <c r="H78" s="326"/>
      <c r="I78" s="326"/>
      <c r="J78" s="326"/>
      <c r="K78" s="326"/>
      <c r="L78" s="326"/>
      <c r="M78" s="327"/>
      <c r="N78" s="327"/>
      <c r="O78" s="326"/>
      <c r="P78" s="326"/>
      <c r="Q78" s="326"/>
      <c r="R78" s="328"/>
      <c r="S78" s="326"/>
      <c r="T78" s="326"/>
      <c r="U78" s="326"/>
    </row>
    <row r="79" customFormat="false" ht="14.25" hidden="false" customHeight="false" outlineLevel="0" collapsed="false">
      <c r="A79" s="324"/>
      <c r="B79" s="324"/>
      <c r="C79" s="324"/>
      <c r="D79" s="324"/>
      <c r="E79" s="324"/>
      <c r="F79" s="324"/>
      <c r="G79" s="324"/>
      <c r="H79" s="326"/>
      <c r="I79" s="326"/>
      <c r="J79" s="326"/>
      <c r="K79" s="326"/>
      <c r="L79" s="326"/>
      <c r="M79" s="327"/>
      <c r="N79" s="327"/>
      <c r="O79" s="326"/>
      <c r="P79" s="326"/>
      <c r="Q79" s="326"/>
      <c r="R79" s="328"/>
      <c r="S79" s="326"/>
      <c r="T79" s="326"/>
      <c r="U79" s="326"/>
    </row>
    <row r="80" customFormat="false" ht="14.25" hidden="false" customHeight="false" outlineLevel="0" collapsed="false">
      <c r="A80" s="329" t="s">
        <v>371</v>
      </c>
      <c r="B80" s="329"/>
      <c r="C80" s="329"/>
      <c r="D80" s="329"/>
      <c r="E80" s="329"/>
      <c r="F80" s="286" t="n">
        <v>0</v>
      </c>
      <c r="G80" s="286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09" t="n">
        <v>0</v>
      </c>
      <c r="T80" s="331"/>
      <c r="U80" s="331"/>
    </row>
    <row r="81" customFormat="false" ht="14.25" hidden="false" customHeight="false" outlineLevel="0" collapsed="false">
      <c r="A81" s="329" t="s">
        <v>372</v>
      </c>
      <c r="B81" s="329"/>
      <c r="C81" s="329"/>
      <c r="D81" s="329"/>
      <c r="E81" s="329"/>
      <c r="F81" s="286" t="n">
        <v>0</v>
      </c>
      <c r="G81" s="286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09" t="n">
        <v>0</v>
      </c>
      <c r="T81" s="331"/>
      <c r="U81" s="331"/>
    </row>
    <row r="82" customFormat="false" ht="14.25" hidden="false" customHeight="false" outlineLevel="0" collapsed="false">
      <c r="A82" s="329" t="s">
        <v>373</v>
      </c>
      <c r="B82" s="329"/>
      <c r="C82" s="329"/>
      <c r="D82" s="329"/>
      <c r="E82" s="329"/>
      <c r="F82" s="286" t="n">
        <v>0</v>
      </c>
      <c r="G82" s="286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09" t="n">
        <v>0</v>
      </c>
      <c r="T82" s="331"/>
      <c r="U82" s="331"/>
    </row>
    <row r="83" customFormat="false" ht="14.25" hidden="false" customHeight="false" outlineLevel="0" collapsed="false">
      <c r="A83" s="332" t="s">
        <v>374</v>
      </c>
      <c r="B83" s="332"/>
      <c r="C83" s="332"/>
      <c r="D83" s="332"/>
      <c r="E83" s="332"/>
      <c r="F83" s="286" t="n">
        <v>0</v>
      </c>
      <c r="G83" s="286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309" t="n">
        <v>0</v>
      </c>
      <c r="T83" s="331"/>
      <c r="U83" s="331"/>
    </row>
    <row r="84" customFormat="false" ht="14.25" hidden="false" customHeight="true" outlineLevel="0" collapsed="false">
      <c r="A84" s="333" t="s">
        <v>375</v>
      </c>
      <c r="B84" s="333"/>
      <c r="C84" s="333"/>
      <c r="D84" s="333"/>
      <c r="E84" s="333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331"/>
      <c r="T84" s="331"/>
      <c r="U84" s="331"/>
    </row>
    <row r="85" customFormat="false" ht="14.25" hidden="false" customHeight="false" outlineLevel="0" collapsed="false">
      <c r="A85" s="333"/>
      <c r="B85" s="333"/>
      <c r="C85" s="333"/>
      <c r="D85" s="333"/>
      <c r="E85" s="333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331"/>
      <c r="T85" s="331"/>
      <c r="U85" s="331"/>
    </row>
    <row r="86" customFormat="false" ht="14.25" hidden="false" customHeight="false" outlineLevel="0" collapsed="false">
      <c r="A86" s="312" t="s">
        <v>327</v>
      </c>
      <c r="B86" s="312"/>
      <c r="C86" s="312"/>
      <c r="D86" s="312"/>
      <c r="E86" s="312"/>
      <c r="F86" s="334" t="n">
        <v>0</v>
      </c>
      <c r="G86" s="334"/>
      <c r="H86" s="309" t="n">
        <v>0</v>
      </c>
      <c r="I86" s="309" t="n">
        <v>0</v>
      </c>
      <c r="J86" s="309" t="n">
        <v>0</v>
      </c>
      <c r="K86" s="309" t="n">
        <v>0</v>
      </c>
      <c r="L86" s="309" t="n">
        <v>0</v>
      </c>
      <c r="M86" s="309" t="n">
        <v>0</v>
      </c>
      <c r="N86" s="309" t="n">
        <v>0</v>
      </c>
      <c r="O86" s="309" t="n">
        <v>0</v>
      </c>
      <c r="P86" s="309" t="n">
        <v>0</v>
      </c>
      <c r="Q86" s="309" t="n">
        <v>0</v>
      </c>
      <c r="R86" s="309" t="n">
        <v>0</v>
      </c>
      <c r="S86" s="309" t="n">
        <v>0</v>
      </c>
    </row>
    <row r="89" customFormat="false" ht="16.5" hidden="false" customHeight="false" outlineLevel="0" collapsed="false">
      <c r="A89" s="285" t="s">
        <v>376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</row>
    <row r="90" customFormat="false" ht="14.25" hidden="false" customHeight="false" outlineLevel="0" collapsed="false">
      <c r="A90" s="335" t="s">
        <v>320</v>
      </c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</row>
    <row r="92" customFormat="false" ht="14.25" hidden="false" customHeight="true" outlineLevel="0" collapsed="false">
      <c r="A92" s="324" t="s">
        <v>377</v>
      </c>
      <c r="B92" s="324"/>
      <c r="C92" s="324"/>
      <c r="D92" s="324"/>
      <c r="E92" s="324"/>
      <c r="F92" s="324" t="s">
        <v>378</v>
      </c>
      <c r="G92" s="324"/>
      <c r="H92" s="325" t="s">
        <v>379</v>
      </c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6" t="s">
        <v>380</v>
      </c>
      <c r="T92" s="326" t="s">
        <v>381</v>
      </c>
      <c r="U92" s="326"/>
    </row>
    <row r="93" customFormat="false" ht="14.25" hidden="false" customHeight="true" outlineLevel="0" collapsed="false">
      <c r="A93" s="324"/>
      <c r="B93" s="324"/>
      <c r="C93" s="324"/>
      <c r="D93" s="324"/>
      <c r="E93" s="324"/>
      <c r="F93" s="324"/>
      <c r="G93" s="324"/>
      <c r="H93" s="325" t="s">
        <v>325</v>
      </c>
      <c r="I93" s="325"/>
      <c r="J93" s="325"/>
      <c r="K93" s="325"/>
      <c r="L93" s="325"/>
      <c r="M93" s="327" t="s">
        <v>368</v>
      </c>
      <c r="N93" s="326" t="s">
        <v>355</v>
      </c>
      <c r="O93" s="326" t="s">
        <v>338</v>
      </c>
      <c r="P93" s="326" t="s">
        <v>369</v>
      </c>
      <c r="Q93" s="326" t="s">
        <v>370</v>
      </c>
      <c r="R93" s="326"/>
      <c r="S93" s="326"/>
      <c r="T93" s="326"/>
      <c r="U93" s="326"/>
    </row>
    <row r="94" customFormat="false" ht="14.25" hidden="false" customHeight="true" outlineLevel="0" collapsed="false">
      <c r="A94" s="324"/>
      <c r="B94" s="324"/>
      <c r="C94" s="324"/>
      <c r="D94" s="324"/>
      <c r="E94" s="324"/>
      <c r="F94" s="324"/>
      <c r="G94" s="324"/>
      <c r="H94" s="326" t="s">
        <v>328</v>
      </c>
      <c r="I94" s="326" t="s">
        <v>329</v>
      </c>
      <c r="J94" s="326" t="s">
        <v>330</v>
      </c>
      <c r="K94" s="326" t="s">
        <v>333</v>
      </c>
      <c r="L94" s="326" t="s">
        <v>334</v>
      </c>
      <c r="M94" s="327"/>
      <c r="N94" s="326"/>
      <c r="O94" s="326"/>
      <c r="P94" s="326"/>
      <c r="Q94" s="326"/>
      <c r="R94" s="326"/>
      <c r="S94" s="326"/>
      <c r="T94" s="326"/>
      <c r="U94" s="326"/>
    </row>
    <row r="95" customFormat="false" ht="14.25" hidden="false" customHeight="false" outlineLevel="0" collapsed="false">
      <c r="A95" s="324"/>
      <c r="B95" s="324"/>
      <c r="C95" s="324"/>
      <c r="D95" s="324"/>
      <c r="E95" s="324"/>
      <c r="F95" s="324"/>
      <c r="G95" s="324"/>
      <c r="H95" s="326"/>
      <c r="I95" s="326"/>
      <c r="J95" s="326"/>
      <c r="K95" s="326"/>
      <c r="L95" s="326"/>
      <c r="M95" s="327"/>
      <c r="N95" s="326"/>
      <c r="O95" s="326"/>
      <c r="P95" s="326"/>
      <c r="Q95" s="326"/>
      <c r="R95" s="326"/>
      <c r="S95" s="326"/>
      <c r="T95" s="326"/>
      <c r="U95" s="326"/>
    </row>
    <row r="96" customFormat="false" ht="14.25" hidden="false" customHeight="false" outlineLevel="0" collapsed="false">
      <c r="A96" s="324"/>
      <c r="B96" s="324"/>
      <c r="C96" s="324"/>
      <c r="D96" s="324"/>
      <c r="E96" s="324"/>
      <c r="F96" s="324"/>
      <c r="G96" s="324"/>
      <c r="H96" s="326"/>
      <c r="I96" s="326"/>
      <c r="J96" s="326"/>
      <c r="K96" s="326"/>
      <c r="L96" s="326"/>
      <c r="M96" s="327"/>
      <c r="N96" s="326"/>
      <c r="O96" s="326"/>
      <c r="P96" s="326"/>
      <c r="Q96" s="326"/>
      <c r="R96" s="326"/>
      <c r="S96" s="326"/>
      <c r="T96" s="326"/>
      <c r="U96" s="326"/>
    </row>
    <row r="97" customFormat="false" ht="14.25" hidden="false" customHeight="false" outlineLevel="0" collapsed="false">
      <c r="A97" s="329" t="s">
        <v>374</v>
      </c>
      <c r="B97" s="329"/>
      <c r="C97" s="329"/>
      <c r="D97" s="329"/>
      <c r="E97" s="329"/>
      <c r="F97" s="293" t="n">
        <v>0</v>
      </c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86"/>
      <c r="R97" s="286"/>
      <c r="S97" s="309" t="n">
        <v>0</v>
      </c>
      <c r="T97" s="331"/>
      <c r="U97" s="331"/>
    </row>
    <row r="98" customFormat="false" ht="14.25" hidden="false" customHeight="false" outlineLevel="0" collapsed="false">
      <c r="A98" s="329" t="s">
        <v>382</v>
      </c>
      <c r="B98" s="329"/>
      <c r="C98" s="329"/>
      <c r="D98" s="329"/>
      <c r="E98" s="329"/>
      <c r="F98" s="293" t="n">
        <v>0</v>
      </c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86"/>
      <c r="R98" s="286"/>
      <c r="S98" s="309" t="n">
        <v>0</v>
      </c>
      <c r="T98" s="331"/>
      <c r="U98" s="331"/>
    </row>
    <row r="99" customFormat="false" ht="14.25" hidden="false" customHeight="true" outlineLevel="0" collapsed="false">
      <c r="A99" s="336" t="s">
        <v>383</v>
      </c>
      <c r="B99" s="336"/>
      <c r="C99" s="336"/>
      <c r="D99" s="336"/>
      <c r="E99" s="33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331"/>
      <c r="T99" s="331"/>
      <c r="U99" s="331"/>
    </row>
    <row r="100" customFormat="false" ht="14.25" hidden="false" customHeight="false" outlineLevel="0" collapsed="false">
      <c r="A100" s="336"/>
      <c r="B100" s="336"/>
      <c r="C100" s="336"/>
      <c r="D100" s="336"/>
      <c r="E100" s="33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331"/>
      <c r="T100" s="331"/>
      <c r="U100" s="331"/>
    </row>
    <row r="101" customFormat="false" ht="14.25" hidden="false" customHeight="false" outlineLevel="0" collapsed="false">
      <c r="A101" s="312" t="s">
        <v>327</v>
      </c>
      <c r="B101" s="312"/>
      <c r="C101" s="312"/>
      <c r="D101" s="312"/>
      <c r="E101" s="312"/>
      <c r="F101" s="309" t="n">
        <v>0</v>
      </c>
      <c r="G101" s="309" t="n">
        <v>0</v>
      </c>
      <c r="H101" s="309" t="n">
        <v>0</v>
      </c>
      <c r="I101" s="309" t="n">
        <v>0</v>
      </c>
      <c r="J101" s="309" t="n">
        <v>0</v>
      </c>
      <c r="K101" s="309" t="n">
        <v>0</v>
      </c>
      <c r="L101" s="309" t="n">
        <v>0</v>
      </c>
      <c r="M101" s="309" t="n">
        <v>0</v>
      </c>
      <c r="N101" s="309" t="n">
        <v>0</v>
      </c>
      <c r="O101" s="309" t="n">
        <v>0</v>
      </c>
      <c r="P101" s="309" t="n">
        <v>0</v>
      </c>
      <c r="Q101" s="309" t="n">
        <v>0</v>
      </c>
      <c r="R101" s="309" t="n">
        <v>0</v>
      </c>
      <c r="S101" s="309" t="n">
        <v>0</v>
      </c>
    </row>
  </sheetData>
  <mergeCells count="175">
    <mergeCell ref="A1:M1"/>
    <mergeCell ref="A3:C3"/>
    <mergeCell ref="D3:E3"/>
    <mergeCell ref="A4:L4"/>
    <mergeCell ref="M4:N4"/>
    <mergeCell ref="J7:N7"/>
    <mergeCell ref="J11:K11"/>
    <mergeCell ref="A15:C15"/>
    <mergeCell ref="D15:F15"/>
    <mergeCell ref="A17:C17"/>
    <mergeCell ref="A20:E23"/>
    <mergeCell ref="F20:U20"/>
    <mergeCell ref="F21:F23"/>
    <mergeCell ref="G21:G23"/>
    <mergeCell ref="H21:O21"/>
    <mergeCell ref="P21:T21"/>
    <mergeCell ref="U21:U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A24:U24"/>
    <mergeCell ref="A25:E25"/>
    <mergeCell ref="A26:E26"/>
    <mergeCell ref="A27:E27"/>
    <mergeCell ref="A28:E28"/>
    <mergeCell ref="A29:E30"/>
    <mergeCell ref="A31:E31"/>
    <mergeCell ref="A32:E32"/>
    <mergeCell ref="A33:E33"/>
    <mergeCell ref="A34:E34"/>
    <mergeCell ref="A35:E35"/>
    <mergeCell ref="A36:E36"/>
    <mergeCell ref="A37:E37"/>
    <mergeCell ref="A39:E39"/>
    <mergeCell ref="A40:E40"/>
    <mergeCell ref="A42:D42"/>
    <mergeCell ref="A45:E48"/>
    <mergeCell ref="F45:U45"/>
    <mergeCell ref="F46:F48"/>
    <mergeCell ref="G46:G48"/>
    <mergeCell ref="H46:O46"/>
    <mergeCell ref="P46:T46"/>
    <mergeCell ref="U46:U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49:U49"/>
    <mergeCell ref="A50:E50"/>
    <mergeCell ref="A51:E51"/>
    <mergeCell ref="A52:E52"/>
    <mergeCell ref="A53:E53"/>
    <mergeCell ref="A54:E55"/>
    <mergeCell ref="A56:E56"/>
    <mergeCell ref="A57:E57"/>
    <mergeCell ref="A58:E58"/>
    <mergeCell ref="A59:E59"/>
    <mergeCell ref="A60:E60"/>
    <mergeCell ref="A61:E61"/>
    <mergeCell ref="A62:E62"/>
    <mergeCell ref="A63:E63"/>
    <mergeCell ref="F63:T65"/>
    <mergeCell ref="A64:E64"/>
    <mergeCell ref="A65:E65"/>
    <mergeCell ref="A66:E66"/>
    <mergeCell ref="A68:E68"/>
    <mergeCell ref="A69:E70"/>
    <mergeCell ref="F69:F70"/>
    <mergeCell ref="A72:H72"/>
    <mergeCell ref="A75:E79"/>
    <mergeCell ref="F75:G79"/>
    <mergeCell ref="H75:R75"/>
    <mergeCell ref="S75:S79"/>
    <mergeCell ref="T75:U79"/>
    <mergeCell ref="H76:L76"/>
    <mergeCell ref="M76:M79"/>
    <mergeCell ref="N76:N79"/>
    <mergeCell ref="O76:O79"/>
    <mergeCell ref="P76:P79"/>
    <mergeCell ref="Q76:Q79"/>
    <mergeCell ref="R76:R79"/>
    <mergeCell ref="H77:H79"/>
    <mergeCell ref="I77:I79"/>
    <mergeCell ref="J77:J79"/>
    <mergeCell ref="K77:K79"/>
    <mergeCell ref="L77:L79"/>
    <mergeCell ref="A80:E80"/>
    <mergeCell ref="F80:G80"/>
    <mergeCell ref="H80:R82"/>
    <mergeCell ref="T80:U80"/>
    <mergeCell ref="A81:E81"/>
    <mergeCell ref="F81:G81"/>
    <mergeCell ref="T81:U81"/>
    <mergeCell ref="A82:E82"/>
    <mergeCell ref="F82:G82"/>
    <mergeCell ref="T82:U82"/>
    <mergeCell ref="A83:E83"/>
    <mergeCell ref="F83:G83"/>
    <mergeCell ref="T83:U83"/>
    <mergeCell ref="A84:E85"/>
    <mergeCell ref="F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U85"/>
    <mergeCell ref="A86:E86"/>
    <mergeCell ref="F86:G86"/>
    <mergeCell ref="A89:P89"/>
    <mergeCell ref="A90:L90"/>
    <mergeCell ref="A92:E96"/>
    <mergeCell ref="F92:G96"/>
    <mergeCell ref="H92:R92"/>
    <mergeCell ref="S92:S96"/>
    <mergeCell ref="T92:U96"/>
    <mergeCell ref="H93:L93"/>
    <mergeCell ref="M93:M96"/>
    <mergeCell ref="N93:N96"/>
    <mergeCell ref="O93:O96"/>
    <mergeCell ref="P93:P96"/>
    <mergeCell ref="Q93:R96"/>
    <mergeCell ref="H94:H96"/>
    <mergeCell ref="I94:I96"/>
    <mergeCell ref="J94:J96"/>
    <mergeCell ref="K94:K96"/>
    <mergeCell ref="L94:L96"/>
    <mergeCell ref="A97:E97"/>
    <mergeCell ref="Q97:R97"/>
    <mergeCell ref="T97:U97"/>
    <mergeCell ref="A98:E98"/>
    <mergeCell ref="Q98:R98"/>
    <mergeCell ref="T98:U98"/>
    <mergeCell ref="A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R100"/>
    <mergeCell ref="S99:S100"/>
    <mergeCell ref="T99:U100"/>
    <mergeCell ref="A101:E10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2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D4" activeCellId="0" sqref="D4"/>
    </sheetView>
  </sheetViews>
  <sheetFormatPr defaultRowHeight="14.25" zeroHeight="false" outlineLevelRow="0" outlineLevelCol="0"/>
  <cols>
    <col collapsed="false" customWidth="true" hidden="false" outlineLevel="0" max="1" min="1" style="0" width="8.61"/>
    <col collapsed="false" customWidth="true" hidden="false" outlineLevel="0" max="2" min="2" style="0" width="15.75"/>
    <col collapsed="false" customWidth="true" hidden="false" outlineLevel="0" max="3" min="3" style="0" width="16.87"/>
    <col collapsed="false" customWidth="true" hidden="false" outlineLevel="0" max="4" min="4" style="0" width="13.87"/>
    <col collapsed="false" customWidth="true" hidden="false" outlineLevel="0" max="1025" min="5" style="0" width="8.61"/>
  </cols>
  <sheetData>
    <row r="2" customFormat="false" ht="15.75" hidden="false" customHeight="false" outlineLevel="0" collapsed="false">
      <c r="B2" s="337" t="s">
        <v>384</v>
      </c>
      <c r="C2" s="337"/>
      <c r="D2" s="337"/>
    </row>
    <row r="3" customFormat="false" ht="48" hidden="false" customHeight="false" outlineLevel="0" collapsed="false">
      <c r="B3" s="338" t="s">
        <v>385</v>
      </c>
      <c r="C3" s="338" t="s">
        <v>386</v>
      </c>
      <c r="D3" s="338" t="s">
        <v>387</v>
      </c>
    </row>
    <row r="4" customFormat="false" ht="95.25" hidden="false" customHeight="false" outlineLevel="0" collapsed="false">
      <c r="B4" s="338" t="s">
        <v>388</v>
      </c>
      <c r="C4" s="339" t="n">
        <v>751</v>
      </c>
      <c r="D4" s="340" t="n">
        <f aca="false">C4/BEI!U37</f>
        <v>0.00680796642260813</v>
      </c>
    </row>
    <row r="5" customFormat="false" ht="111" hidden="false" customHeight="false" outlineLevel="0" collapsed="false">
      <c r="B5" s="338" t="s">
        <v>389</v>
      </c>
      <c r="C5" s="339" t="n">
        <v>476</v>
      </c>
      <c r="D5" s="340" t="n">
        <f aca="false">C5/SUM(BEI!P37:T37)</f>
        <v>0.00945935109013075</v>
      </c>
    </row>
    <row r="6" customFormat="false" ht="63.75" hidden="false" customHeight="false" outlineLevel="0" collapsed="false">
      <c r="B6" s="338" t="s">
        <v>390</v>
      </c>
      <c r="C6" s="339" t="n">
        <v>494</v>
      </c>
      <c r="D6" s="340" t="n">
        <f aca="false">C6/BEI!U66</f>
        <v>0.0224169764525007</v>
      </c>
    </row>
    <row r="9" customFormat="false" ht="36.75" hidden="false" customHeight="true" outlineLevel="0" collapsed="false">
      <c r="B9" s="341" t="s">
        <v>391</v>
      </c>
      <c r="C9" s="341"/>
      <c r="D9" s="341"/>
      <c r="E9" s="342"/>
    </row>
    <row r="10" customFormat="false" ht="45" hidden="false" customHeight="true" outlineLevel="0" collapsed="false">
      <c r="B10" s="338" t="s">
        <v>392</v>
      </c>
      <c r="C10" s="343" t="s">
        <v>393</v>
      </c>
      <c r="D10" s="344" t="s">
        <v>387</v>
      </c>
      <c r="E10" s="140"/>
    </row>
    <row r="11" customFormat="false" ht="142.5" hidden="false" customHeight="false" outlineLevel="0" collapsed="false">
      <c r="B11" s="345" t="s">
        <v>394</v>
      </c>
      <c r="C11" s="339" t="n">
        <v>31</v>
      </c>
      <c r="D11" s="340" t="n">
        <f aca="false">C11/SUM(BEI!U25,BEI!U28)</f>
        <v>0.0132232731091291</v>
      </c>
    </row>
    <row r="12" customFormat="false" ht="173.25" hidden="false" customHeight="false" outlineLevel="0" collapsed="false">
      <c r="B12" s="346" t="s">
        <v>395</v>
      </c>
      <c r="C12" s="347" t="n">
        <v>720</v>
      </c>
      <c r="D12" s="348" t="n">
        <f aca="false">C12/SUM(BEI!U26+BEI!U27)</f>
        <v>0.00794300606422127</v>
      </c>
    </row>
    <row r="13" customFormat="false" ht="15.75" hidden="false" customHeight="false" outlineLevel="0" collapsed="false">
      <c r="B13" s="349"/>
      <c r="C13" s="350"/>
      <c r="D13" s="351"/>
    </row>
    <row r="14" customFormat="false" ht="15.75" hidden="false" customHeight="false" outlineLevel="0" collapsed="false">
      <c r="B14" s="349"/>
      <c r="C14" s="350"/>
      <c r="D14" s="351"/>
    </row>
    <row r="15" customFormat="false" ht="15.75" hidden="false" customHeight="false" outlineLevel="0" collapsed="false">
      <c r="B15" s="341" t="s">
        <v>396</v>
      </c>
      <c r="C15" s="341"/>
      <c r="D15" s="341"/>
    </row>
    <row r="16" customFormat="false" ht="48" hidden="false" customHeight="false" outlineLevel="0" collapsed="false">
      <c r="B16" s="338" t="s">
        <v>392</v>
      </c>
      <c r="C16" s="343" t="s">
        <v>393</v>
      </c>
      <c r="D16" s="344" t="s">
        <v>387</v>
      </c>
    </row>
    <row r="17" customFormat="false" ht="142.5" hidden="false" customHeight="false" outlineLevel="0" collapsed="false">
      <c r="B17" s="345" t="s">
        <v>397</v>
      </c>
      <c r="C17" s="339" t="n">
        <v>3</v>
      </c>
      <c r="D17" s="340" t="n">
        <f aca="false">C17/SUM(BEI!P25:T25,BEI!P28:T28)</f>
        <v>0.230767384630154</v>
      </c>
    </row>
    <row r="18" customFormat="false" ht="173.25" hidden="false" customHeight="false" outlineLevel="0" collapsed="false">
      <c r="B18" s="346" t="s">
        <v>398</v>
      </c>
      <c r="C18" s="347" t="n">
        <v>473</v>
      </c>
      <c r="D18" s="348" t="n">
        <f aca="false">C18/SUM(BEI!P26:T26,BEI!P27:T27)</f>
        <v>0.00944213396288403</v>
      </c>
    </row>
    <row r="19" customFormat="false" ht="15.75" hidden="false" customHeight="false" outlineLevel="0" collapsed="false">
      <c r="B19" s="349"/>
      <c r="C19" s="350"/>
      <c r="D19" s="351"/>
    </row>
    <row r="20" customFormat="false" ht="15.75" hidden="false" customHeight="false" outlineLevel="0" collapsed="false">
      <c r="B20" s="349"/>
      <c r="C20" s="350"/>
      <c r="D20" s="351"/>
    </row>
    <row r="22" customFormat="false" ht="15.75" hidden="false" customHeight="false" outlineLevel="0" collapsed="false">
      <c r="B22" s="341" t="s">
        <v>399</v>
      </c>
    </row>
    <row r="23" customFormat="false" ht="48" hidden="false" customHeight="false" outlineLevel="0" collapsed="false">
      <c r="B23" s="338" t="s">
        <v>392</v>
      </c>
      <c r="C23" s="343" t="s">
        <v>393</v>
      </c>
      <c r="D23" s="344" t="s">
        <v>387</v>
      </c>
    </row>
    <row r="24" customFormat="false" ht="95.25" hidden="false" customHeight="false" outlineLevel="0" collapsed="false">
      <c r="B24" s="345" t="s">
        <v>400</v>
      </c>
      <c r="C24" s="339" t="n">
        <v>7</v>
      </c>
      <c r="D24" s="340" t="n">
        <f aca="false">C24/SUM(BEI!U50+BEI!U53)</f>
        <v>0.00793432628157221</v>
      </c>
    </row>
    <row r="25" customFormat="false" ht="126.75" hidden="false" customHeight="false" outlineLevel="0" collapsed="false">
      <c r="B25" s="345" t="s">
        <v>401</v>
      </c>
      <c r="C25" s="339" t="n">
        <v>487</v>
      </c>
      <c r="D25" s="340" t="n">
        <f aca="false">C25/SUM(BEI!U51,BEI!U52)</f>
        <v>0.0288248825511246</v>
      </c>
    </row>
  </sheetData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2015-01-19T15:40:54Z</dcterms:created>
  <dc:creator>x</dc:creator>
  <dc:description/>
  <dc:language>pl-PL</dc:language>
  <cp:lastModifiedBy>Beata</cp:lastModifiedBy>
  <dcterms:modified xsi:type="dcterms:W3CDTF">2022-11-24T09:07:47Z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